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466" yWindow="240" windowWidth="15530" windowHeight="10380" tabRatio="190" activeTab="0"/>
  </bookViews>
  <sheets>
    <sheet name="дод. 11" sheetId="1" r:id="rId1"/>
  </sheets>
  <definedNames>
    <definedName name="_xlfn.AGGREGATE" hidden="1">#NAME?</definedName>
    <definedName name="_xlnm.Print_Titles" localSheetId="0">'дод. 11'!$5:$5</definedName>
  </definedNames>
  <calcPr fullCalcOnLoad="1"/>
</workbook>
</file>

<file path=xl/sharedStrings.xml><?xml version="1.0" encoding="utf-8"?>
<sst xmlns="http://schemas.openxmlformats.org/spreadsheetml/2006/main" count="225" uniqueCount="225">
  <si>
    <t>1.9</t>
  </si>
  <si>
    <t>Утримання мереж зливової каналізації, в т.ч.:</t>
  </si>
  <si>
    <t>1.1</t>
  </si>
  <si>
    <t>Забезпечення належного утримання зелених насаджень, в т.ч.:</t>
  </si>
  <si>
    <t>придбання та встановлення кашпо, лавок з урнами</t>
  </si>
  <si>
    <t>Догляд за малими архітектурними формами та створення нових, в т.ч.:</t>
  </si>
  <si>
    <t>Забезпечення чистоти міста, в т.ч.:</t>
  </si>
  <si>
    <t xml:space="preserve">придбання контейнерів для збору ТПВ </t>
  </si>
  <si>
    <t xml:space="preserve"> утримання  міських кладовищ (фінансова підтримка КП "Комбінат комунальних підприємств")</t>
  </si>
  <si>
    <t>поховання та транспортування до моргу на судмедекспертизу  одиноких померлих та безрідних громадян(фінансова підтримка КП "Комбінат комунальних підприємств")</t>
  </si>
  <si>
    <t xml:space="preserve">утримання зелених зон </t>
  </si>
  <si>
    <t>утримання пляжів (фінансова підтримка КП "Дирекція парків")</t>
  </si>
  <si>
    <t>придбання інвентарю для пляжів (фінансова підтримка КП "Дирекція парків")</t>
  </si>
  <si>
    <t>поточний ремонт Берегоукріплення житлового мікрорайону «Митниця-1 черга» м. Черкаси (фінансова підтримка КП "Дирекція парків")</t>
  </si>
  <si>
    <t>утримання та лікування безпритульних тварин , що знаходяться у комунальних притулках(харчування, лікування, прибирання) (фінансова підтримка КП "Черкаська служба чистоти")</t>
  </si>
  <si>
    <t>послуги зі стерилізації безпритульних тварин (фінансова підтримка КП "Черкаська служба чистоти")</t>
  </si>
  <si>
    <t>№ п/п</t>
  </si>
  <si>
    <t>НАПРЯМКИ ВИДАТКІВ</t>
  </si>
  <si>
    <t>Організація роботи інженерного облаштування вуличнно-дорожньої мережі, в т.ч.:</t>
  </si>
  <si>
    <t>1.6</t>
  </si>
  <si>
    <t>1.7</t>
  </si>
  <si>
    <t>Утримання та розвиток парків та скверів міста, в т.ч.:</t>
  </si>
  <si>
    <t>1.12</t>
  </si>
  <si>
    <t>Організація благоустрою населених пунктів</t>
  </si>
  <si>
    <t>ВИДАТКИ НА ЖИТЛОВО-КОМУНАЛЬНЕ ГОСПОДАРСТВО ЗА РАХУНОК КОШТІВ МІСЬКОГО БЮДЖЕТУ У 2018 РОЦІ</t>
  </si>
  <si>
    <t>Дослідження питної води з нецентралізованих джерел водопостачання</t>
  </si>
  <si>
    <t>1.10</t>
  </si>
  <si>
    <t>3.</t>
  </si>
  <si>
    <t>1.</t>
  </si>
  <si>
    <t>Інша діяльність у сфері житлово-комунального господарства</t>
  </si>
  <si>
    <t>нагляд за станом електромереж та устаткування (фінансова підтримка КП "Міськсвітло")</t>
  </si>
  <si>
    <t>оплата електроенергії насосних станцій</t>
  </si>
  <si>
    <t>Монтування ялинки та гірлянд</t>
  </si>
  <si>
    <t xml:space="preserve"> утримання питних фонтанчиків</t>
  </si>
  <si>
    <t xml:space="preserve"> обслуговування водяних завіс</t>
  </si>
  <si>
    <t>Разом видатків на поточний рік, грн.</t>
  </si>
  <si>
    <t xml:space="preserve">оплата електроенергїї світлофорних об'єктів </t>
  </si>
  <si>
    <t>комплексне косіння зелених зон</t>
  </si>
  <si>
    <t>утримання газонів на бульварі Шевченка</t>
  </si>
  <si>
    <t xml:space="preserve">утримання зелених насаджень </t>
  </si>
  <si>
    <t>обрізка дерев (формувальна, омолоджувальна, санітарна, вздовж повітряних ліній та на перехрестях), знесення дерев, видалення самосівів, видалення пеньків</t>
  </si>
  <si>
    <t xml:space="preserve">Організація та утримання місць поховань, в т.ч.: </t>
  </si>
  <si>
    <t>послуги пульта управління зовнішнім освітленням міста (фінансова підтримка КП "Міськсвітло")</t>
  </si>
  <si>
    <t>1.4</t>
  </si>
  <si>
    <t>1.5</t>
  </si>
  <si>
    <t>1.8</t>
  </si>
  <si>
    <t>Збереження пам'ятників культурної та історичної спадщини, в т.ч.:</t>
  </si>
  <si>
    <t xml:space="preserve">поточний ремонт меморіального комплексу "Пагорб Слави" </t>
  </si>
  <si>
    <t>ВСЬОГО ВИДАТКІВ</t>
  </si>
  <si>
    <t>1.2</t>
  </si>
  <si>
    <t>1.3</t>
  </si>
  <si>
    <t>1.11</t>
  </si>
  <si>
    <t xml:space="preserve"> Заходи пов’язані  з поліпшенням питної води </t>
  </si>
  <si>
    <t>3.1</t>
  </si>
  <si>
    <t>Поводження з безпритульними тваринами, в т.ч.:</t>
  </si>
  <si>
    <t xml:space="preserve">обслуговування міських фонтанів </t>
  </si>
  <si>
    <t>оплата водопостачання та водовідведення фонтанів</t>
  </si>
  <si>
    <t>оплата електроенергії фонтанів</t>
  </si>
  <si>
    <t>оплата водопостачання кладовищ</t>
  </si>
  <si>
    <t>оплата електроенергії кладовищ</t>
  </si>
  <si>
    <t>оплата водовідведення від накопичувальних басейнів</t>
  </si>
  <si>
    <t>оплата водопостачання та водовідведення питних фонтанчиків</t>
  </si>
  <si>
    <t>оплата водопостачання водяних завіс</t>
  </si>
  <si>
    <t>оплата електроенергії на освітлення міста</t>
  </si>
  <si>
    <t>поточний ремонт мереж зовнішнього освітлення міста</t>
  </si>
  <si>
    <t xml:space="preserve">Загальний фонд </t>
  </si>
  <si>
    <t xml:space="preserve">Спеціальний фонд </t>
  </si>
  <si>
    <t>Капітальний ремонт прибудинкової території житлових будинків по вул. Митницькій, 17, 17/1та по вул. Гоголя, 315</t>
  </si>
  <si>
    <t>Капітальний ремонт прибудинкової території  житлових будинків по вул. Пилипенка 10, 12 та вул. Пастерівська, 106</t>
  </si>
  <si>
    <t>Капітальний ремонт прибудинкової території  житлового будинку по вул. Сумгаїтська, 59</t>
  </si>
  <si>
    <t>Капітальний ремонт прибудинкової території житлового будинку по вул. В.Чорновола 122/41</t>
  </si>
  <si>
    <t>Капітальний ремонт прибудинкової території житлових будинків   по бул. Шевченка, 264 та по вул. Небесної Сотні, 41</t>
  </si>
  <si>
    <t>Капітальний ремонт житлового будинку по вул. Благовісна, 180 (покрівля)</t>
  </si>
  <si>
    <t>Капітальний ремонт житлового будинку по бульв. Шевченка, 276 (аварійні балкони)</t>
  </si>
  <si>
    <t>Капітальний ремонт житлового будинку по вул. Пилипенка, 12 (встановлення ІТП)</t>
  </si>
  <si>
    <t>Капітальний ремонт прибудинкової території житлового будинку № 350 по вул.Гоголя в м.Черкаси</t>
  </si>
  <si>
    <t>Капітальний ремонт житлового будинку №37 по вул. Сумгаїтській (заміна вікон)</t>
  </si>
  <si>
    <t>Капітальний ремонт прибудинкової території (дитячий майданчик) за адресою: вул. Ярославська, 32</t>
  </si>
  <si>
    <t>Капітальний ремонт житлового будинку по вул. Різдвяна, 56 (ремонт покрівлі та перекриття другого поверху)</t>
  </si>
  <si>
    <t>Капітальний ремонт ганків до під'їздів № 1-8 житлового будинку по вул.Гуржіївській, 30</t>
  </si>
  <si>
    <t>Капітальний ремонт житлового будинку №103 по вул. Нижня Горова (інженерні мережі)</t>
  </si>
  <si>
    <t xml:space="preserve"> Капітальний ремонт житлового фонду міської комунальної власності (капітальний ремонт ліфтів):
 - капітальний ремонт ліфтів поточного року;
 - експертне обстеження ліфтів поточного року.</t>
  </si>
  <si>
    <t>Капітальний ремонт прийнятих в комунальну власність безгосподарських мереж теплопостачання та гарячого водопостачання</t>
  </si>
  <si>
    <t>Експлуатаційне та технічне обслуговування житлового фонду</t>
  </si>
  <si>
    <t xml:space="preserve">2. </t>
  </si>
  <si>
    <t>1.13</t>
  </si>
  <si>
    <t>1.14</t>
  </si>
  <si>
    <t>1.15</t>
  </si>
  <si>
    <t>1.16</t>
  </si>
  <si>
    <t>1.17</t>
  </si>
  <si>
    <t>1.18</t>
  </si>
  <si>
    <t>1.19</t>
  </si>
  <si>
    <t>1.20</t>
  </si>
  <si>
    <t>1.21</t>
  </si>
  <si>
    <t>1.22</t>
  </si>
  <si>
    <t>1.23</t>
  </si>
  <si>
    <t>1.24</t>
  </si>
  <si>
    <t>1.25</t>
  </si>
  <si>
    <t>1.26</t>
  </si>
  <si>
    <t>1.27</t>
  </si>
  <si>
    <t>1.28</t>
  </si>
  <si>
    <t>1.29</t>
  </si>
  <si>
    <t>1.30</t>
  </si>
  <si>
    <t>1.31</t>
  </si>
  <si>
    <t>1.32</t>
  </si>
  <si>
    <t>1.33</t>
  </si>
  <si>
    <t>1.34</t>
  </si>
  <si>
    <t>2.1</t>
  </si>
  <si>
    <t>4.</t>
  </si>
  <si>
    <t>5.</t>
  </si>
  <si>
    <t>6.</t>
  </si>
  <si>
    <t>придбання контейнерів для сміття місткістю 1,1 куб.м.</t>
  </si>
  <si>
    <t xml:space="preserve">капітальний ремонт скверу "Весна" </t>
  </si>
  <si>
    <t>6.1</t>
  </si>
  <si>
    <t>4.1</t>
  </si>
  <si>
    <t>4.2</t>
  </si>
  <si>
    <t>4.3</t>
  </si>
  <si>
    <t>4.4</t>
  </si>
  <si>
    <t>4.5</t>
  </si>
  <si>
    <t>4.6</t>
  </si>
  <si>
    <t>4.7</t>
  </si>
  <si>
    <t>4.8</t>
  </si>
  <si>
    <t>4.9</t>
  </si>
  <si>
    <t>4.10</t>
  </si>
  <si>
    <t>4.11</t>
  </si>
  <si>
    <t>4.12</t>
  </si>
  <si>
    <t>5.1</t>
  </si>
  <si>
    <t>Забезпечення надійної та безперебійної експлуатації ліфтів</t>
  </si>
  <si>
    <t>виготовлення та затвердження Схеми санітарного очищення</t>
  </si>
  <si>
    <t xml:space="preserve">                                                         бюджет розвитку</t>
  </si>
  <si>
    <t xml:space="preserve">із них </t>
  </si>
  <si>
    <t>Капітальний ремонт житлового будинку №39 по вул. Сумгаїтській (заміна вікон)</t>
  </si>
  <si>
    <t>поточний ремонт мереж зовнішнього освітлення міста (фінансова підтримка КП "Міськсвітло")</t>
  </si>
  <si>
    <t>4.13</t>
  </si>
  <si>
    <t>Розробка Схеми теплопостачання міста Черкаси</t>
  </si>
  <si>
    <t>Капітальний ремонт житлового будинку № 105 по вул. Нижня Горова (інженерні мережі)</t>
  </si>
  <si>
    <t>Капітальний ремонт житлового будинку № 164 по вул. Нижня Горова (інженерні мережі)</t>
  </si>
  <si>
    <t>Капітальний ремонт житлового будинку № 76 по вул. Толстого (заміна вікон)</t>
  </si>
  <si>
    <t xml:space="preserve">Капітальний ремонт житлового будинку № 43 по вул. Різдвяна (заміна вікон) </t>
  </si>
  <si>
    <t xml:space="preserve">Капітальний ремонт житлового будинку № 43/1 по вул. Різдвяна (заміна вікон) </t>
  </si>
  <si>
    <t xml:space="preserve">Капітальний ремонт житлового будинку № 50 по вул. Толстого (інженерні мережі) </t>
  </si>
  <si>
    <t xml:space="preserve">Капітальний ремонт житлового будинку № 76 по вул. Толстого (інженерні мережі) </t>
  </si>
  <si>
    <t xml:space="preserve">Капітальний ремонт житлового будинку № 78 по вул. Толстого (інженерні мережі) </t>
  </si>
  <si>
    <t xml:space="preserve">Капітальний ремонт житлового будинку № 115 по вул. Нижня Горова (заміна вікон) </t>
  </si>
  <si>
    <t xml:space="preserve">Капітальний ремонт житлового будинку № 9а по вул. Чехова (заміна вікон) </t>
  </si>
  <si>
    <t>1.35</t>
  </si>
  <si>
    <t>1.36</t>
  </si>
  <si>
    <t>1.37</t>
  </si>
  <si>
    <t>1.38</t>
  </si>
  <si>
    <t>1.39</t>
  </si>
  <si>
    <t>1.40</t>
  </si>
  <si>
    <t>1.41</t>
  </si>
  <si>
    <t>1.42</t>
  </si>
  <si>
    <t>1.43</t>
  </si>
  <si>
    <t>1.44</t>
  </si>
  <si>
    <t>1.45</t>
  </si>
  <si>
    <t>1.46</t>
  </si>
  <si>
    <t>1.47</t>
  </si>
  <si>
    <t>послуги аудиту (фінансова підтримка КП "Дирекція парків")</t>
  </si>
  <si>
    <t>Капітальний ремонт житлового будинку по вул. С. Жужоми, 6 в м. Черкаси (покрівля)</t>
  </si>
  <si>
    <t>1.48</t>
  </si>
  <si>
    <t>Капітальний ремонт прибудинкової території будинку № 96 по вул.М.Залізняка</t>
  </si>
  <si>
    <t>Капітальний ремонт прибудинкової території будинку № 96/1 по вул.М.Залізняка</t>
  </si>
  <si>
    <t>Організація місць відпочинку на комунальних пляжах міста, в т.ч.:</t>
  </si>
  <si>
    <t>Обслуговування водяних завіс, в т.ч.:</t>
  </si>
  <si>
    <t>Утримання питних фонтанчиків, в т.ч.:</t>
  </si>
  <si>
    <t>Капітальний ремонт житлового будинку №69 по вул. Героїв Дніпра (заміна вікон та дверей)</t>
  </si>
  <si>
    <t>% виконання</t>
  </si>
  <si>
    <t>Капітальний ремонт житлового будинку №2 по вул. Сержанта Смірнова  (заміна вікон та дверей)</t>
  </si>
  <si>
    <t>ремонт міських кладовищ до Поминальних днів (фінансова підтримка КП "Комбінат комунальних підприємств")</t>
  </si>
  <si>
    <t>відведення земельної ділянки орієнтовною площею 4,00 га в постійне користування по вул. Промисловій під будівництво кладовища</t>
  </si>
  <si>
    <t>Придбання та встановлення елементів для дитячого майданчика на прибудинкових територіях біля будинків за адресою: вул.Благовісна, 180 та 180/1</t>
  </si>
  <si>
    <t>Капітальний ремонт прибудинкової території (дитячий майданчик) за адресою: вул. Небесної Сотні 45</t>
  </si>
  <si>
    <t xml:space="preserve">Капітальний ремонт прибудинкової території (дитячий спортивний майданчик) житлового будинку № 29 по вул. Г. Дніпра, м. Черкаси </t>
  </si>
  <si>
    <t>Капітальний ремонт житлового будинку №143/4 по вул. Нижня Горова (утеплення)</t>
  </si>
  <si>
    <t>Капітальний ремонт житлового будинку №164 по вул. Нижня Горова (заміна вікон)</t>
  </si>
  <si>
    <t>Капітальний ремонт житлового будинку №168 по вул. Нижня Горова (заміна вікон)</t>
  </si>
  <si>
    <t>Капітальний ремонт житлового будинку №115 по вул. Нижня Горова (покрівля)</t>
  </si>
  <si>
    <t xml:space="preserve">Капітальний ремонт житлового будинку №105 по вул. Нижня Горова (покрівля) </t>
  </si>
  <si>
    <t>Капітальний ремонт прибудинкової території (дитячий майданчик) за адресою: вул. Ярославська, 24</t>
  </si>
  <si>
    <t xml:space="preserve">Капітальний ремонт житлового будинку №57 по вул. Різдвяна (заміна вікон) </t>
  </si>
  <si>
    <t>Капітальний ремонт житлового будинку №57 по вул. Різдвяна (інженерні мережі)</t>
  </si>
  <si>
    <t>Капітальний ремонт житлового будинку №57/1 по вул. Різдвяна (інженерні мережі)</t>
  </si>
  <si>
    <t>Капітальний ремонт житлового будинку №43 по вул. Різдвяна (інженерні мережі)</t>
  </si>
  <si>
    <t xml:space="preserve">Капітальний ремонт житлового будинку №57/1 по вул. Різдвяна (заміна вікон) </t>
  </si>
  <si>
    <t>Капітальний ремонт житлового будинку №43/1 по вул. Різдвяна (покрівля)</t>
  </si>
  <si>
    <t xml:space="preserve">Капітальний ремонт житлового будинку №43 по вул. Різдвяна (покрівля) </t>
  </si>
  <si>
    <t>Капітальний ремонт житлового будинку № 168 по вул. Нижня Горова (інженерні мережі)</t>
  </si>
  <si>
    <t>Капітальний ремонт житлового будинку № 6 по вул. Юрія Іллєнка (заміна вікон)</t>
  </si>
  <si>
    <t>Капітальний ремонт житлового будинку №50 по вул. Толстого (покрівля)</t>
  </si>
  <si>
    <t>1.49</t>
  </si>
  <si>
    <t>Капітальний ремонт житлового будинку №50 по вул. Толстого (заміна вікон)</t>
  </si>
  <si>
    <t>1.50</t>
  </si>
  <si>
    <t>1.51</t>
  </si>
  <si>
    <t>1.52</t>
  </si>
  <si>
    <t>Капітальний ремонт житлового будинку №78 по вул. Толстого (заміна вікон)</t>
  </si>
  <si>
    <t>1.53</t>
  </si>
  <si>
    <t>1.54</t>
  </si>
  <si>
    <t>1.55</t>
  </si>
  <si>
    <t>Капітальний ремонт житлового будинку №9а по вул. Чехова (інженерні мережі)</t>
  </si>
  <si>
    <t>1.56</t>
  </si>
  <si>
    <t>Капітальний ремонт житлового будинку № 3 по вул. Максима Залізняка (покрівля)</t>
  </si>
  <si>
    <t>1.57</t>
  </si>
  <si>
    <t>1.58</t>
  </si>
  <si>
    <t>Надання співфінансування ОСББ  на виконання капітальних ремонтів:                                                                                                         -енергозберігаючі заходи;                                                                                             -інші види робіт (покрівлі, інженерні мережі і т.п.)</t>
  </si>
  <si>
    <t>Капітальний ремонт житлового будинку №103 по вул. Нижня Горова (покрівля)</t>
  </si>
  <si>
    <t>Капітальний ремонт житлового будинку № 214 по вул. Благовісна (інженерні мережі)</t>
  </si>
  <si>
    <t>Капітальний ремонт житлового будинку №220 по вул. Благовісна  (інженерні мережі )</t>
  </si>
  <si>
    <t>ліквідація стихійних сміттєзвалищ на території міста</t>
  </si>
  <si>
    <t>7.</t>
  </si>
  <si>
    <t>Забезпечення діяльності з виробництва ,транспортування , постачання теплової енергії</t>
  </si>
  <si>
    <t>7.1</t>
  </si>
  <si>
    <t xml:space="preserve">Фінансова підтримка КПТМ "Черкаситеплокомуненерго" для забезпечення розрахунків за кредитними зобов'язаннями, гарантом яких виступає Черкаська міська рада </t>
  </si>
  <si>
    <t>8.</t>
  </si>
  <si>
    <t>8.1</t>
  </si>
  <si>
    <t>Забезпечення діяльності водопровідно-каналізаційного господарства</t>
  </si>
  <si>
    <t>на утримання зелених насаджень та зелених зон, прибирання доріжок та алей, утримання та оновлення майна парків та скверів (фінансова підтрнимка КП "Дирекція парків"), з них:</t>
  </si>
  <si>
    <t>послуга встановлення волейбольного обладнання (утримання та оновлення майна парків та скверів)</t>
  </si>
  <si>
    <t>придбання обладнання для облаштування кімнати "Матері та дитини"(утримання та оновлення майна парків та скверів)</t>
  </si>
  <si>
    <t>Фінансова підтримка КП "Черкасиводоканал" на погашення заборгованості по гарантійним зобов'язанням перед Черкаською міською радою за Гарантією Черкаської міської ради  від 10.09.2009 №2 до договору про субкредитування від 29.12.2009 р. № 28010 -02/144, укладеному в рамках впровадження Проекту розвитку міської інфраструктури(Угода про позику між Україною та МБРР від 26.05.2008 № 4869-UA).</t>
  </si>
  <si>
    <t>поточний ремонт адмінбудівлі в парку "Перемога", послуги з поточного ремонту дитячих майданчиків, лав (утримання та оновлення майна парків та скверів)</t>
  </si>
  <si>
    <t>утримання системи поливу парку-пам'ятки  садово-паркового мистецтва місцевого значення Долина Троянд (утримання зелених насаджень та зеллених зон)</t>
  </si>
  <si>
    <t>Інша діяльність, пов'язана з експлуатацією об'єктів житлово-комунального господарства</t>
  </si>
  <si>
    <t xml:space="preserve">Капітальний ремонт житлового будинку №115 по вул. Нижня Горова (інженерні мережі) </t>
  </si>
  <si>
    <t>Профінансовано станом на 30.11.2018 року, грн.</t>
  </si>
</sst>
</file>

<file path=xl/styles.xml><?xml version="1.0" encoding="utf-8"?>
<styleSheet xmlns="http://schemas.openxmlformats.org/spreadsheetml/2006/main">
  <numFmts count="6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_-* #,##0.00\ _г_р_н_._-;\-* #,##0.00\ _г_р_н_._-;_-* &quot;-&quot;??\ _г_р_н_._-;_-@_-"/>
    <numFmt numFmtId="181" formatCode="* #,##0;* \-#,##0;* &quot;-&quot;;@"/>
    <numFmt numFmtId="182" formatCode="* #,##0.00;* \-#,##0.00;* &quot;-&quot;??;@"/>
    <numFmt numFmtId="183" formatCode="* _-#,##0&quot;р.&quot;;* \-#,##0&quot;р.&quot;;* _-&quot;-&quot;&quot;р.&quot;;@"/>
    <numFmt numFmtId="184" formatCode="* _-#,##0.00&quot;р.&quot;;* \-#,##0.00&quot;р.&quot;;* _-&quot;-&quot;??&quot;р.&quot;;@"/>
    <numFmt numFmtId="185" formatCode="#,##0.0"/>
    <numFmt numFmtId="186" formatCode="0.0"/>
    <numFmt numFmtId="187" formatCode="#,##0.00000"/>
    <numFmt numFmtId="188" formatCode="0.000"/>
    <numFmt numFmtId="189" formatCode="0.0%"/>
    <numFmt numFmtId="190" formatCode="#,##0.000"/>
    <numFmt numFmtId="191" formatCode="#,##0.00_р_."/>
    <numFmt numFmtId="192" formatCode="#,##0.00\ _г_р_н_."/>
    <numFmt numFmtId="193" formatCode="000000"/>
    <numFmt numFmtId="194" formatCode="#,##0.00_ ;[Red]\-#,##0.00\ "/>
    <numFmt numFmtId="195" formatCode="#,##0\ &quot;грн.&quot;;\-#,##0\ &quot;грн.&quot;"/>
    <numFmt numFmtId="196" formatCode="#,##0\ &quot;грн.&quot;;[Red]\-#,##0\ &quot;грн.&quot;"/>
    <numFmt numFmtId="197" formatCode="#,##0.00\ &quot;грн.&quot;;\-#,##0.00\ &quot;грн.&quot;"/>
    <numFmt numFmtId="198" formatCode="#,##0.00\ &quot;грн.&quot;;[Red]\-#,##0.00\ &quot;грн.&quot;"/>
    <numFmt numFmtId="199" formatCode="_-* #,##0\ &quot;грн.&quot;_-;\-* #,##0\ &quot;грн.&quot;_-;_-* &quot;-&quot;\ &quot;грн.&quot;_-;_-@_-"/>
    <numFmt numFmtId="200" formatCode="_-* #,##0\ _г_р_н_._-;\-* #,##0\ _г_р_н_._-;_-* &quot;-&quot;\ _г_р_н_._-;_-@_-"/>
    <numFmt numFmtId="201" formatCode="_-* #,##0.00\ &quot;грн.&quot;_-;\-* #,##0.00\ &quot;грн.&quot;_-;_-* &quot;-&quot;??\ &quot;грн.&quot;_-;_-@_-"/>
    <numFmt numFmtId="202" formatCode="&quot;Да&quot;;&quot;Да&quot;;&quot;Нет&quot;"/>
    <numFmt numFmtId="203" formatCode="&quot;Истина&quot;;&quot;Истина&quot;;&quot;Ложь&quot;"/>
    <numFmt numFmtId="204" formatCode="&quot;Вкл&quot;;&quot;Вкл&quot;;&quot;Выкл&quot;"/>
    <numFmt numFmtId="205" formatCode="[$€-2]\ ###,000_);[Red]\([$€-2]\ ###,000\)"/>
    <numFmt numFmtId="206" formatCode="#,##0.0000"/>
    <numFmt numFmtId="207" formatCode="#,##0.0\ _г_р_н_."/>
    <numFmt numFmtId="208" formatCode="0.00000000"/>
    <numFmt numFmtId="209" formatCode="0.0000000"/>
    <numFmt numFmtId="210" formatCode="0.000000"/>
    <numFmt numFmtId="211" formatCode="0.00000"/>
    <numFmt numFmtId="212" formatCode="0.0000"/>
    <numFmt numFmtId="213" formatCode="_-* #,##0.00&quot;р.&quot;_-;\-* #,##0.00&quot;р.&quot;_-;_-* \-??&quot;р.&quot;_-;_-@_-"/>
    <numFmt numFmtId="214" formatCode="_-* #,##0.00\ _р_._-;\-* #,##0.00\ _р_._-;_-* &quot;-&quot;??\ _р_._-;_-@_-"/>
    <numFmt numFmtId="215" formatCode="_-* #,##0.00_р_._-;\-* #,##0.00_р_._-;_-* \-??_р_._-;_-@_-"/>
    <numFmt numFmtId="216" formatCode="#,##0.00\ _₽"/>
    <numFmt numFmtId="217" formatCode="#,##0.00\ &quot;₽&quot;"/>
    <numFmt numFmtId="218" formatCode="#,##0.00\ &quot;₽&quot;;[Red]#,##0.00\ &quot;₽&quot;"/>
    <numFmt numFmtId="219" formatCode="#,##0.00\ _₽;[Red]#,##0.00\ _₽"/>
    <numFmt numFmtId="220" formatCode="#,##0.00;[Red]#,##0.00"/>
  </numFmts>
  <fonts count="62">
    <font>
      <sz val="10"/>
      <name val="Times New Roman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0"/>
      <name val="Times New Roman"/>
      <family val="1"/>
    </font>
    <font>
      <b/>
      <i/>
      <sz val="10"/>
      <name val="Times New Roman"/>
      <family val="1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1"/>
      <color indexed="52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2"/>
      <name val="Times New Roman"/>
      <family val="1"/>
    </font>
    <font>
      <sz val="10"/>
      <name val="Helv"/>
      <family val="0"/>
    </font>
    <font>
      <sz val="10"/>
      <name val="Arial Cyr"/>
      <family val="0"/>
    </font>
    <font>
      <sz val="10"/>
      <name val="Arial"/>
      <family val="2"/>
    </font>
    <font>
      <u val="single"/>
      <sz val="10"/>
      <color indexed="12"/>
      <name val="Arial"/>
      <family val="2"/>
    </font>
    <font>
      <sz val="10"/>
      <name val="Courier New"/>
      <family val="3"/>
    </font>
    <font>
      <u val="single"/>
      <sz val="10"/>
      <color indexed="36"/>
      <name val="Arial"/>
      <family val="2"/>
    </font>
    <font>
      <sz val="12"/>
      <name val="Times New Roman"/>
      <family val="1"/>
    </font>
    <font>
      <b/>
      <sz val="11"/>
      <name val="Times New Roman"/>
      <family val="1"/>
    </font>
    <font>
      <b/>
      <sz val="10"/>
      <color indexed="8"/>
      <name val="Times New Roman"/>
      <family val="1"/>
    </font>
    <font>
      <sz val="11"/>
      <color indexed="8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i/>
      <sz val="10"/>
      <name val="Times New Roman"/>
      <family val="1"/>
    </font>
    <font>
      <sz val="10"/>
      <name val="Arial CYR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Arial"/>
      <family val="2"/>
    </font>
    <font>
      <b/>
      <sz val="11"/>
      <color indexed="8"/>
      <name val="Times New Roman"/>
      <family val="1"/>
    </font>
    <font>
      <sz val="11"/>
      <name val="Times New Roman"/>
      <family val="1"/>
    </font>
    <font>
      <i/>
      <sz val="11"/>
      <color indexed="8"/>
      <name val="Times New Roman"/>
      <family val="1"/>
    </font>
    <font>
      <i/>
      <sz val="11"/>
      <name val="Times New Roman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12"/>
      <name val="Arial Cyr"/>
      <family val="0"/>
    </font>
    <font>
      <b/>
      <sz val="18"/>
      <color indexed="62"/>
      <name val="Cambria"/>
      <family val="2"/>
    </font>
    <font>
      <sz val="12"/>
      <name val="UkrainianPragmatica"/>
      <family val="0"/>
    </font>
    <font>
      <i/>
      <sz val="10"/>
      <color indexed="8"/>
      <name val="Times New Roman"/>
      <family val="1"/>
    </font>
    <font>
      <b/>
      <sz val="11"/>
      <color indexed="10"/>
      <name val="Calibri"/>
      <family val="2"/>
    </font>
    <font>
      <sz val="11"/>
      <color indexed="1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</fonts>
  <fills count="5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3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/>
      <right>
        <color indexed="63"/>
      </right>
      <top style="thin">
        <color indexed="8"/>
      </top>
      <bottom style="thin">
        <color indexed="8"/>
      </bottom>
    </border>
    <border>
      <left style="thin"/>
      <right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/>
      <top style="medium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 style="thin"/>
      <right style="thin"/>
      <top style="thin"/>
      <bottom/>
    </border>
    <border>
      <left/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medium"/>
      <bottom/>
    </border>
    <border>
      <left style="thin"/>
      <right style="thin"/>
      <top>
        <color indexed="63"/>
      </top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medium"/>
      <bottom style="thin"/>
    </border>
  </borders>
  <cellStyleXfs count="24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51" fillId="8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52" fillId="28" borderId="0" applyNumberFormat="0" applyBorder="0" applyAlignment="0" applyProtection="0"/>
    <xf numFmtId="0" fontId="52" fillId="29" borderId="0" applyNumberFormat="0" applyBorder="0" applyAlignment="0" applyProtection="0"/>
    <xf numFmtId="0" fontId="52" fillId="30" borderId="0" applyNumberFormat="0" applyBorder="0" applyAlignment="0" applyProtection="0"/>
    <xf numFmtId="0" fontId="52" fillId="31" borderId="0" applyNumberFormat="0" applyBorder="0" applyAlignment="0" applyProtection="0"/>
    <xf numFmtId="0" fontId="52" fillId="32" borderId="0" applyNumberFormat="0" applyBorder="0" applyAlignment="0" applyProtection="0"/>
    <xf numFmtId="0" fontId="52" fillId="33" borderId="0" applyNumberFormat="0" applyBorder="0" applyAlignment="0" applyProtection="0"/>
    <xf numFmtId="0" fontId="23" fillId="0" borderId="0">
      <alignment/>
      <protection/>
    </xf>
    <xf numFmtId="0" fontId="14" fillId="34" borderId="0" applyNumberFormat="0" applyBorder="0" applyAlignment="0" applyProtection="0"/>
    <xf numFmtId="0" fontId="14" fillId="34" borderId="0" applyNumberFormat="0" applyBorder="0" applyAlignment="0" applyProtection="0"/>
    <xf numFmtId="0" fontId="14" fillId="34" borderId="0" applyNumberFormat="0" applyBorder="0" applyAlignment="0" applyProtection="0"/>
    <xf numFmtId="0" fontId="14" fillId="35" borderId="0" applyNumberFormat="0" applyBorder="0" applyAlignment="0" applyProtection="0"/>
    <xf numFmtId="0" fontId="14" fillId="35" borderId="0" applyNumberFormat="0" applyBorder="0" applyAlignment="0" applyProtection="0"/>
    <xf numFmtId="0" fontId="14" fillId="35" borderId="0" applyNumberFormat="0" applyBorder="0" applyAlignment="0" applyProtection="0"/>
    <xf numFmtId="0" fontId="14" fillId="36" borderId="0" applyNumberFormat="0" applyBorder="0" applyAlignment="0" applyProtection="0"/>
    <xf numFmtId="0" fontId="14" fillId="36" borderId="0" applyNumberFormat="0" applyBorder="0" applyAlignment="0" applyProtection="0"/>
    <xf numFmtId="0" fontId="14" fillId="36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37" borderId="0" applyNumberFormat="0" applyBorder="0" applyAlignment="0" applyProtection="0"/>
    <xf numFmtId="0" fontId="14" fillId="37" borderId="0" applyNumberFormat="0" applyBorder="0" applyAlignment="0" applyProtection="0"/>
    <xf numFmtId="0" fontId="14" fillId="37" borderId="0" applyNumberFormat="0" applyBorder="0" applyAlignment="0" applyProtection="0"/>
    <xf numFmtId="0" fontId="52" fillId="38" borderId="0" applyNumberFormat="0" applyBorder="0" applyAlignment="0" applyProtection="0"/>
    <xf numFmtId="0" fontId="52" fillId="39" borderId="0" applyNumberFormat="0" applyBorder="0" applyAlignment="0" applyProtection="0"/>
    <xf numFmtId="0" fontId="52" fillId="40" borderId="0" applyNumberFormat="0" applyBorder="0" applyAlignment="0" applyProtection="0"/>
    <xf numFmtId="0" fontId="52" fillId="41" borderId="0" applyNumberFormat="0" applyBorder="0" applyAlignment="0" applyProtection="0"/>
    <xf numFmtId="0" fontId="52" fillId="42" borderId="0" applyNumberFormat="0" applyBorder="0" applyAlignment="0" applyProtection="0"/>
    <xf numFmtId="0" fontId="52" fillId="43" borderId="0" applyNumberFormat="0" applyBorder="0" applyAlignment="0" applyProtection="0"/>
    <xf numFmtId="0" fontId="8" fillId="7" borderId="1" applyNumberFormat="0" applyAlignment="0" applyProtection="0"/>
    <xf numFmtId="0" fontId="8" fillId="7" borderId="1" applyNumberFormat="0" applyAlignment="0" applyProtection="0"/>
    <xf numFmtId="0" fontId="8" fillId="44" borderId="1" applyNumberFormat="0" applyAlignment="0" applyProtection="0"/>
    <xf numFmtId="0" fontId="8" fillId="44" borderId="1" applyNumberFormat="0" applyAlignment="0" applyProtection="0"/>
    <xf numFmtId="0" fontId="9" fillId="45" borderId="2" applyNumberFormat="0" applyAlignment="0" applyProtection="0"/>
    <xf numFmtId="0" fontId="9" fillId="45" borderId="2" applyNumberFormat="0" applyAlignment="0" applyProtection="0"/>
    <xf numFmtId="0" fontId="9" fillId="45" borderId="2" applyNumberFormat="0" applyAlignment="0" applyProtection="0"/>
    <xf numFmtId="0" fontId="16" fillId="45" borderId="1" applyNumberFormat="0" applyAlignment="0" applyProtection="0"/>
    <xf numFmtId="0" fontId="16" fillId="45" borderId="1" applyNumberFormat="0" applyAlignment="0" applyProtection="0"/>
    <xf numFmtId="0" fontId="16" fillId="45" borderId="1" applyNumberFormat="0" applyAlignment="0" applyProtection="0"/>
    <xf numFmtId="0" fontId="2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182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213" fontId="15" fillId="0" borderId="0" applyFill="0" applyBorder="0" applyAlignment="0" applyProtection="0"/>
    <xf numFmtId="213" fontId="15" fillId="0" borderId="0" applyFill="0" applyBorder="0" applyAlignment="0" applyProtection="0"/>
    <xf numFmtId="170" fontId="22" fillId="0" borderId="0" applyFont="0" applyFill="0" applyBorder="0" applyAlignment="0" applyProtection="0"/>
    <xf numFmtId="0" fontId="6" fillId="4" borderId="0" applyNumberFormat="0" applyBorder="0" applyAlignment="0" applyProtection="0"/>
    <xf numFmtId="0" fontId="53" fillId="0" borderId="3" applyNumberFormat="0" applyFill="0" applyAlignment="0" applyProtection="0"/>
    <xf numFmtId="0" fontId="42" fillId="0" borderId="4" applyNumberFormat="0" applyFill="0" applyAlignment="0" applyProtection="0"/>
    <xf numFmtId="0" fontId="42" fillId="0" borderId="4" applyNumberFormat="0" applyFill="0" applyAlignment="0" applyProtection="0"/>
    <xf numFmtId="0" fontId="54" fillId="0" borderId="5" applyNumberFormat="0" applyFill="0" applyAlignment="0" applyProtection="0"/>
    <xf numFmtId="0" fontId="43" fillId="0" borderId="6" applyNumberFormat="0" applyFill="0" applyAlignment="0" applyProtection="0"/>
    <xf numFmtId="0" fontId="43" fillId="0" borderId="6" applyNumberFormat="0" applyFill="0" applyAlignment="0" applyProtection="0"/>
    <xf numFmtId="0" fontId="55" fillId="0" borderId="7" applyNumberFormat="0" applyFill="0" applyAlignment="0" applyProtection="0"/>
    <xf numFmtId="0" fontId="44" fillId="0" borderId="8" applyNumberFormat="0" applyFill="0" applyAlignment="0" applyProtection="0"/>
    <xf numFmtId="0" fontId="44" fillId="0" borderId="8" applyNumberFormat="0" applyFill="0" applyAlignment="0" applyProtection="0"/>
    <xf numFmtId="0" fontId="55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2" fillId="0" borderId="0">
      <alignment/>
      <protection/>
    </xf>
    <xf numFmtId="0" fontId="25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15" fillId="0" borderId="0">
      <alignment/>
      <protection/>
    </xf>
    <xf numFmtId="0" fontId="37" fillId="0" borderId="0">
      <alignment vertical="top"/>
      <protection/>
    </xf>
    <xf numFmtId="0" fontId="19" fillId="0" borderId="9" applyNumberFormat="0" applyFill="0" applyAlignment="0" applyProtection="0"/>
    <xf numFmtId="0" fontId="13" fillId="0" borderId="10" applyNumberFormat="0" applyFill="0" applyAlignment="0" applyProtection="0"/>
    <xf numFmtId="0" fontId="13" fillId="0" borderId="10" applyNumberFormat="0" applyFill="0" applyAlignment="0" applyProtection="0"/>
    <xf numFmtId="0" fontId="13" fillId="0" borderId="10" applyNumberFormat="0" applyFill="0" applyAlignment="0" applyProtection="0"/>
    <xf numFmtId="0" fontId="11" fillId="46" borderId="11" applyNumberFormat="0" applyAlignment="0" applyProtection="0"/>
    <xf numFmtId="0" fontId="11" fillId="46" borderId="11" applyNumberFormat="0" applyAlignment="0" applyProtection="0"/>
    <xf numFmtId="0" fontId="11" fillId="46" borderId="11" applyNumberFormat="0" applyAlignment="0" applyProtection="0"/>
    <xf numFmtId="0" fontId="11" fillId="46" borderId="11" applyNumberFormat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18" fillId="44" borderId="0" applyNumberFormat="0" applyBorder="0" applyAlignment="0" applyProtection="0"/>
    <xf numFmtId="0" fontId="18" fillId="44" borderId="0" applyNumberFormat="0" applyBorder="0" applyAlignment="0" applyProtection="0"/>
    <xf numFmtId="0" fontId="18" fillId="44" borderId="0" applyNumberFormat="0" applyBorder="0" applyAlignment="0" applyProtection="0"/>
    <xf numFmtId="0" fontId="56" fillId="47" borderId="12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5" fillId="0" borderId="0">
      <alignment/>
      <protection/>
    </xf>
    <xf numFmtId="0" fontId="22" fillId="0" borderId="0">
      <alignment/>
      <protection/>
    </xf>
    <xf numFmtId="0" fontId="34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3" fillId="0" borderId="0">
      <alignment/>
      <protection/>
    </xf>
    <xf numFmtId="0" fontId="15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0" fillId="0" borderId="0">
      <alignment/>
      <protection/>
    </xf>
    <xf numFmtId="0" fontId="1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34" fillId="0" borderId="0">
      <alignment/>
      <protection/>
    </xf>
    <xf numFmtId="0" fontId="23" fillId="0" borderId="0">
      <alignment/>
      <protection/>
    </xf>
    <xf numFmtId="0" fontId="51" fillId="0" borderId="0">
      <alignment/>
      <protection/>
    </xf>
    <xf numFmtId="0" fontId="15" fillId="0" borderId="0">
      <alignment/>
      <protection/>
    </xf>
    <xf numFmtId="0" fontId="34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23" fillId="0" borderId="0">
      <alignment/>
      <protection/>
    </xf>
    <xf numFmtId="0" fontId="26" fillId="0" borderId="0" applyNumberFormat="0" applyFill="0" applyBorder="0" applyAlignment="0" applyProtection="0"/>
    <xf numFmtId="0" fontId="57" fillId="0" borderId="13" applyNumberFormat="0" applyFill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58" fillId="48" borderId="0" applyNumberFormat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5" fillId="49" borderId="14" applyNumberFormat="0" applyFont="0" applyAlignment="0" applyProtection="0"/>
    <xf numFmtId="0" fontId="15" fillId="49" borderId="14" applyNumberFormat="0" applyFont="0" applyAlignment="0" applyProtection="0"/>
    <xf numFmtId="0" fontId="15" fillId="49" borderId="14" applyNumberFormat="0" applyFont="0" applyAlignment="0" applyProtection="0"/>
    <xf numFmtId="0" fontId="0" fillId="50" borderId="15" applyNumberFormat="0" applyFont="0" applyAlignment="0" applyProtection="0"/>
    <xf numFmtId="184" fontId="1" fillId="0" borderId="0" applyFont="0" applyFill="0" applyBorder="0" applyAlignment="0" applyProtection="0"/>
    <xf numFmtId="9" fontId="22" fillId="0" borderId="0" applyFont="0" applyFill="0" applyBorder="0" applyAlignment="0" applyProtection="0"/>
    <xf numFmtId="0" fontId="59" fillId="47" borderId="16" applyNumberFormat="0" applyAlignment="0" applyProtection="0"/>
    <xf numFmtId="0" fontId="19" fillId="0" borderId="9" applyNumberFormat="0" applyFill="0" applyAlignment="0" applyProtection="0"/>
    <xf numFmtId="0" fontId="10" fillId="0" borderId="17" applyNumberFormat="0" applyFill="0" applyAlignment="0" applyProtection="0"/>
    <xf numFmtId="0" fontId="10" fillId="0" borderId="17" applyNumberFormat="0" applyFill="0" applyAlignment="0" applyProtection="0"/>
    <xf numFmtId="0" fontId="60" fillId="51" borderId="0" applyNumberFormat="0" applyBorder="0" applyAlignment="0" applyProtection="0"/>
    <xf numFmtId="0" fontId="21" fillId="0" borderId="0">
      <alignment/>
      <protection/>
    </xf>
    <xf numFmtId="0" fontId="1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169" fontId="22" fillId="0" borderId="0" applyFont="0" applyFill="0" applyBorder="0" applyAlignment="0" applyProtection="0"/>
    <xf numFmtId="214" fontId="47" fillId="0" borderId="0" applyFont="0" applyFill="0" applyBorder="0" applyAlignment="0" applyProtection="0"/>
    <xf numFmtId="18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215" fontId="15" fillId="0" borderId="0" applyFill="0" applyBorder="0" applyAlignment="0" applyProtection="0"/>
    <xf numFmtId="215" fontId="15" fillId="0" borderId="0" applyFill="0" applyBorder="0" applyAlignment="0" applyProtection="0"/>
    <xf numFmtId="171" fontId="22" fillId="0" borderId="0" applyFont="0" applyFill="0" applyBorder="0" applyAlignment="0" applyProtection="0"/>
    <xf numFmtId="0" fontId="6" fillId="4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</cellStyleXfs>
  <cellXfs count="151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  <xf numFmtId="0" fontId="27" fillId="0" borderId="0" xfId="0" applyFont="1" applyFill="1" applyAlignment="1">
      <alignment/>
    </xf>
    <xf numFmtId="0" fontId="32" fillId="0" borderId="0" xfId="0" applyFont="1" applyFill="1" applyAlignment="1">
      <alignment/>
    </xf>
    <xf numFmtId="0" fontId="31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31" fillId="0" borderId="0" xfId="0" applyFont="1" applyFill="1" applyBorder="1" applyAlignment="1">
      <alignment horizontal="center" vertical="center" wrapText="1"/>
    </xf>
    <xf numFmtId="4" fontId="0" fillId="0" borderId="0" xfId="0" applyNumberFormat="1" applyFill="1" applyAlignment="1">
      <alignment/>
    </xf>
    <xf numFmtId="49" fontId="30" fillId="0" borderId="18" xfId="0" applyNumberFormat="1" applyFont="1" applyFill="1" applyBorder="1" applyAlignment="1">
      <alignment horizontal="center" vertical="center"/>
    </xf>
    <xf numFmtId="0" fontId="0" fillId="0" borderId="0" xfId="0" applyFill="1" applyBorder="1" applyAlignment="1">
      <alignment/>
    </xf>
    <xf numFmtId="0" fontId="0" fillId="0" borderId="19" xfId="0" applyFill="1" applyBorder="1" applyAlignment="1">
      <alignment/>
    </xf>
    <xf numFmtId="0" fontId="31" fillId="0" borderId="0" xfId="0" applyFont="1" applyFill="1" applyAlignment="1">
      <alignment horizontal="right"/>
    </xf>
    <xf numFmtId="4" fontId="31" fillId="0" borderId="0" xfId="0" applyNumberFormat="1" applyFont="1" applyFill="1" applyAlignment="1">
      <alignment/>
    </xf>
    <xf numFmtId="0" fontId="31" fillId="0" borderId="0" xfId="0" applyFont="1" applyFill="1" applyBorder="1" applyAlignment="1">
      <alignment/>
    </xf>
    <xf numFmtId="186" fontId="4" fillId="0" borderId="18" xfId="0" applyNumberFormat="1" applyFont="1" applyFill="1" applyBorder="1" applyAlignment="1">
      <alignment horizontal="center" vertical="center"/>
    </xf>
    <xf numFmtId="186" fontId="33" fillId="0" borderId="18" xfId="0" applyNumberFormat="1" applyFont="1" applyFill="1" applyBorder="1" applyAlignment="1">
      <alignment horizontal="center" vertical="center"/>
    </xf>
    <xf numFmtId="186" fontId="20" fillId="52" borderId="18" xfId="0" applyNumberFormat="1" applyFont="1" applyFill="1" applyBorder="1" applyAlignment="1">
      <alignment horizontal="center" vertical="center"/>
    </xf>
    <xf numFmtId="0" fontId="0" fillId="0" borderId="0" xfId="0" applyFill="1" applyAlignment="1">
      <alignment horizontal="center"/>
    </xf>
    <xf numFmtId="0" fontId="28" fillId="0" borderId="18" xfId="0" applyFont="1" applyFill="1" applyBorder="1" applyAlignment="1">
      <alignment horizontal="center" vertical="center" wrapText="1"/>
    </xf>
    <xf numFmtId="49" fontId="30" fillId="0" borderId="18" xfId="0" applyNumberFormat="1" applyFont="1" applyFill="1" applyBorder="1" applyAlignment="1">
      <alignment horizontal="center" vertical="center" wrapText="1"/>
    </xf>
    <xf numFmtId="49" fontId="0" fillId="0" borderId="0" xfId="0" applyNumberFormat="1" applyFill="1" applyAlignment="1">
      <alignment/>
    </xf>
    <xf numFmtId="49" fontId="36" fillId="52" borderId="18" xfId="0" applyNumberFormat="1" applyFont="1" applyFill="1" applyBorder="1" applyAlignment="1">
      <alignment horizontal="center" vertical="center"/>
    </xf>
    <xf numFmtId="49" fontId="31" fillId="0" borderId="0" xfId="0" applyNumberFormat="1" applyFont="1" applyFill="1" applyAlignment="1">
      <alignment/>
    </xf>
    <xf numFmtId="4" fontId="39" fillId="53" borderId="18" xfId="162" applyNumberFormat="1" applyFont="1" applyFill="1" applyBorder="1" applyAlignment="1">
      <alignment horizontal="center" vertical="center"/>
      <protection/>
    </xf>
    <xf numFmtId="4" fontId="30" fillId="53" borderId="18" xfId="162" applyNumberFormat="1" applyFont="1" applyFill="1" applyBorder="1" applyAlignment="1">
      <alignment horizontal="center" vertical="center"/>
      <protection/>
    </xf>
    <xf numFmtId="0" fontId="40" fillId="53" borderId="18" xfId="0" applyFont="1" applyFill="1" applyBorder="1" applyAlignment="1">
      <alignment horizontal="left" vertical="center" wrapText="1"/>
    </xf>
    <xf numFmtId="49" fontId="35" fillId="52" borderId="18" xfId="0" applyNumberFormat="1" applyFont="1" applyFill="1" applyBorder="1" applyAlignment="1">
      <alignment horizontal="center" vertical="center" wrapText="1"/>
    </xf>
    <xf numFmtId="0" fontId="20" fillId="52" borderId="18" xfId="0" applyFont="1" applyFill="1" applyBorder="1" applyAlignment="1">
      <alignment horizontal="center" vertical="center" wrapText="1"/>
    </xf>
    <xf numFmtId="4" fontId="20" fillId="52" borderId="18" xfId="0" applyNumberFormat="1" applyFont="1" applyFill="1" applyBorder="1" applyAlignment="1">
      <alignment horizontal="center" vertical="center"/>
    </xf>
    <xf numFmtId="0" fontId="0" fillId="0" borderId="0" xfId="0" applyFont="1" applyFill="1" applyAlignment="1">
      <alignment horizontal="left" wrapText="1"/>
    </xf>
    <xf numFmtId="49" fontId="35" fillId="52" borderId="20" xfId="0" applyNumberFormat="1" applyFont="1" applyFill="1" applyBorder="1" applyAlignment="1">
      <alignment horizontal="center" vertical="center" wrapText="1"/>
    </xf>
    <xf numFmtId="194" fontId="41" fillId="53" borderId="18" xfId="0" applyNumberFormat="1" applyFont="1" applyFill="1" applyBorder="1" applyAlignment="1">
      <alignment horizontal="center" vertical="center"/>
    </xf>
    <xf numFmtId="191" fontId="33" fillId="0" borderId="18" xfId="0" applyNumberFormat="1" applyFont="1" applyFill="1" applyBorder="1" applyAlignment="1">
      <alignment horizontal="center" vertical="center"/>
    </xf>
    <xf numFmtId="191" fontId="20" fillId="52" borderId="18" xfId="0" applyNumberFormat="1" applyFont="1" applyFill="1" applyBorder="1" applyAlignment="1">
      <alignment horizontal="center" vertical="center"/>
    </xf>
    <xf numFmtId="191" fontId="28" fillId="0" borderId="18" xfId="0" applyNumberFormat="1" applyFont="1" applyFill="1" applyBorder="1" applyAlignment="1">
      <alignment horizontal="center" vertical="center"/>
    </xf>
    <xf numFmtId="191" fontId="35" fillId="52" borderId="20" xfId="0" applyNumberFormat="1" applyFont="1" applyFill="1" applyBorder="1" applyAlignment="1">
      <alignment horizontal="center" vertical="center" wrapText="1"/>
    </xf>
    <xf numFmtId="0" fontId="27" fillId="52" borderId="18" xfId="0" applyFont="1" applyFill="1" applyBorder="1" applyAlignment="1">
      <alignment horizontal="center" vertical="center"/>
    </xf>
    <xf numFmtId="4" fontId="30" fillId="0" borderId="18" xfId="0" applyNumberFormat="1" applyFont="1" applyFill="1" applyBorder="1" applyAlignment="1">
      <alignment horizontal="center" vertical="center" wrapText="1"/>
    </xf>
    <xf numFmtId="0" fontId="39" fillId="0" borderId="18" xfId="0" applyFont="1" applyFill="1" applyBorder="1" applyAlignment="1">
      <alignment horizontal="center" vertical="center"/>
    </xf>
    <xf numFmtId="4" fontId="35" fillId="52" borderId="18" xfId="0" applyNumberFormat="1" applyFont="1" applyFill="1" applyBorder="1" applyAlignment="1">
      <alignment horizontal="center" vertical="center" wrapText="1"/>
    </xf>
    <xf numFmtId="4" fontId="38" fillId="0" borderId="18" xfId="0" applyNumberFormat="1" applyFont="1" applyFill="1" applyBorder="1" applyAlignment="1">
      <alignment horizontal="center" vertical="center" wrapText="1"/>
    </xf>
    <xf numFmtId="4" fontId="40" fillId="0" borderId="18" xfId="0" applyNumberFormat="1" applyFont="1" applyFill="1" applyBorder="1" applyAlignment="1">
      <alignment horizontal="center" vertical="center" wrapText="1"/>
    </xf>
    <xf numFmtId="0" fontId="41" fillId="0" borderId="18" xfId="0" applyFont="1" applyFill="1" applyBorder="1" applyAlignment="1">
      <alignment horizontal="center" vertical="center"/>
    </xf>
    <xf numFmtId="191" fontId="41" fillId="0" borderId="18" xfId="0" applyNumberFormat="1" applyFont="1" applyFill="1" applyBorder="1" applyAlignment="1">
      <alignment horizontal="center" vertical="center"/>
    </xf>
    <xf numFmtId="191" fontId="0" fillId="0" borderId="18" xfId="0" applyNumberFormat="1" applyFont="1" applyFill="1" applyBorder="1" applyAlignment="1">
      <alignment horizontal="center" vertical="center"/>
    </xf>
    <xf numFmtId="191" fontId="4" fillId="0" borderId="18" xfId="0" applyNumberFormat="1" applyFont="1" applyFill="1" applyBorder="1" applyAlignment="1">
      <alignment horizontal="center" vertical="center"/>
    </xf>
    <xf numFmtId="0" fontId="33" fillId="0" borderId="18" xfId="0" applyFont="1" applyFill="1" applyBorder="1" applyAlignment="1">
      <alignment horizontal="center" vertical="center"/>
    </xf>
    <xf numFmtId="186" fontId="5" fillId="0" borderId="18" xfId="0" applyNumberFormat="1" applyFont="1" applyFill="1" applyBorder="1" applyAlignment="1">
      <alignment horizontal="center" vertical="center"/>
    </xf>
    <xf numFmtId="0" fontId="28" fillId="0" borderId="18" xfId="0" applyFont="1" applyFill="1" applyBorder="1" applyAlignment="1">
      <alignment horizontal="center" vertical="center"/>
    </xf>
    <xf numFmtId="4" fontId="35" fillId="52" borderId="18" xfId="0" applyNumberFormat="1" applyFont="1" applyFill="1" applyBorder="1" applyAlignment="1">
      <alignment horizontal="center" vertical="center" wrapText="1"/>
    </xf>
    <xf numFmtId="185" fontId="39" fillId="53" borderId="18" xfId="162" applyNumberFormat="1" applyFont="1" applyFill="1" applyBorder="1" applyAlignment="1">
      <alignment horizontal="left" vertical="center" wrapText="1"/>
      <protection/>
    </xf>
    <xf numFmtId="0" fontId="30" fillId="53" borderId="18" xfId="0" applyFont="1" applyFill="1" applyBorder="1" applyAlignment="1">
      <alignment horizontal="left" vertical="center" wrapText="1"/>
    </xf>
    <xf numFmtId="185" fontId="20" fillId="52" borderId="18" xfId="162" applyNumberFormat="1" applyFont="1" applyFill="1" applyBorder="1" applyAlignment="1">
      <alignment horizontal="left" vertical="center" wrapText="1"/>
      <protection/>
    </xf>
    <xf numFmtId="0" fontId="35" fillId="52" borderId="21" xfId="0" applyFont="1" applyFill="1" applyBorder="1" applyAlignment="1">
      <alignment horizontal="left" vertical="center" wrapText="1"/>
    </xf>
    <xf numFmtId="0" fontId="38" fillId="0" borderId="21" xfId="0" applyFont="1" applyFill="1" applyBorder="1" applyAlignment="1">
      <alignment horizontal="left" vertical="center" wrapText="1"/>
    </xf>
    <xf numFmtId="0" fontId="40" fillId="0" borderId="21" xfId="0" applyFont="1" applyFill="1" applyBorder="1" applyAlignment="1">
      <alignment horizontal="left" vertical="center" wrapText="1"/>
    </xf>
    <xf numFmtId="185" fontId="41" fillId="53" borderId="18" xfId="162" applyNumberFormat="1" applyFont="1" applyFill="1" applyBorder="1" applyAlignment="1">
      <alignment horizontal="left" vertical="center" wrapText="1"/>
      <protection/>
    </xf>
    <xf numFmtId="0" fontId="40" fillId="0" borderId="0" xfId="0" applyFont="1" applyFill="1" applyBorder="1" applyAlignment="1">
      <alignment horizontal="left" vertical="center" wrapText="1"/>
    </xf>
    <xf numFmtId="0" fontId="38" fillId="52" borderId="21" xfId="0" applyFont="1" applyFill="1" applyBorder="1" applyAlignment="1">
      <alignment horizontal="left" vertical="center" wrapText="1"/>
    </xf>
    <xf numFmtId="4" fontId="41" fillId="0" borderId="18" xfId="0" applyNumberFormat="1" applyFont="1" applyFill="1" applyBorder="1" applyAlignment="1">
      <alignment horizontal="center" vertical="center"/>
    </xf>
    <xf numFmtId="186" fontId="28" fillId="0" borderId="18" xfId="0" applyNumberFormat="1" applyFont="1" applyFill="1" applyBorder="1" applyAlignment="1">
      <alignment horizontal="center" vertical="center"/>
    </xf>
    <xf numFmtId="186" fontId="41" fillId="0" borderId="18" xfId="0" applyNumberFormat="1" applyFont="1" applyFill="1" applyBorder="1" applyAlignment="1">
      <alignment horizontal="center" vertical="center"/>
    </xf>
    <xf numFmtId="4" fontId="20" fillId="52" borderId="22" xfId="0" applyNumberFormat="1" applyFont="1" applyFill="1" applyBorder="1" applyAlignment="1">
      <alignment horizontal="center" vertical="center"/>
    </xf>
    <xf numFmtId="4" fontId="39" fillId="0" borderId="22" xfId="0" applyNumberFormat="1" applyFont="1" applyFill="1" applyBorder="1" applyAlignment="1">
      <alignment horizontal="center" vertical="center"/>
    </xf>
    <xf numFmtId="191" fontId="20" fillId="52" borderId="22" xfId="0" applyNumberFormat="1" applyFont="1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191" fontId="0" fillId="0" borderId="22" xfId="0" applyNumberFormat="1" applyFill="1" applyBorder="1" applyAlignment="1">
      <alignment horizontal="center" vertical="center"/>
    </xf>
    <xf numFmtId="191" fontId="28" fillId="0" borderId="22" xfId="0" applyNumberFormat="1" applyFont="1" applyFill="1" applyBorder="1" applyAlignment="1">
      <alignment horizontal="center" vertical="center"/>
    </xf>
    <xf numFmtId="191" fontId="33" fillId="0" borderId="22" xfId="0" applyNumberFormat="1" applyFont="1" applyFill="1" applyBorder="1" applyAlignment="1">
      <alignment horizontal="center" vertical="center"/>
    </xf>
    <xf numFmtId="191" fontId="41" fillId="0" borderId="22" xfId="0" applyNumberFormat="1" applyFont="1" applyFill="1" applyBorder="1" applyAlignment="1">
      <alignment horizontal="center" vertical="center"/>
    </xf>
    <xf numFmtId="0" fontId="33" fillId="0" borderId="22" xfId="0" applyFont="1" applyFill="1" applyBorder="1" applyAlignment="1">
      <alignment horizontal="center" vertical="center"/>
    </xf>
    <xf numFmtId="194" fontId="41" fillId="0" borderId="22" xfId="0" applyNumberFormat="1" applyFont="1" applyFill="1" applyBorder="1" applyAlignment="1">
      <alignment horizontal="center" vertical="center"/>
    </xf>
    <xf numFmtId="0" fontId="27" fillId="52" borderId="22" xfId="0" applyFont="1" applyFill="1" applyBorder="1" applyAlignment="1">
      <alignment horizontal="center" vertical="center"/>
    </xf>
    <xf numFmtId="186" fontId="28" fillId="0" borderId="22" xfId="0" applyNumberFormat="1" applyFont="1" applyFill="1" applyBorder="1" applyAlignment="1">
      <alignment horizontal="center" vertical="center"/>
    </xf>
    <xf numFmtId="0" fontId="39" fillId="0" borderId="22" xfId="0" applyFont="1" applyFill="1" applyBorder="1" applyAlignment="1">
      <alignment horizontal="center" vertical="center"/>
    </xf>
    <xf numFmtId="2" fontId="20" fillId="54" borderId="18" xfId="0" applyNumberFormat="1" applyFont="1" applyFill="1" applyBorder="1" applyAlignment="1">
      <alignment horizontal="center" vertical="center"/>
    </xf>
    <xf numFmtId="2" fontId="39" fillId="55" borderId="18" xfId="0" applyNumberFormat="1" applyFont="1" applyFill="1" applyBorder="1" applyAlignment="1">
      <alignment horizontal="center" vertical="center"/>
    </xf>
    <xf numFmtId="2" fontId="28" fillId="55" borderId="18" xfId="0" applyNumberFormat="1" applyFont="1" applyFill="1" applyBorder="1" applyAlignment="1">
      <alignment horizontal="center" vertical="center"/>
    </xf>
    <xf numFmtId="2" fontId="41" fillId="55" borderId="18" xfId="0" applyNumberFormat="1" applyFont="1" applyFill="1" applyBorder="1" applyAlignment="1">
      <alignment horizontal="center" vertical="center"/>
    </xf>
    <xf numFmtId="4" fontId="39" fillId="0" borderId="18" xfId="0" applyNumberFormat="1" applyFont="1" applyFill="1" applyBorder="1" applyAlignment="1">
      <alignment horizontal="center" vertical="center"/>
    </xf>
    <xf numFmtId="2" fontId="20" fillId="54" borderId="20" xfId="0" applyNumberFormat="1" applyFont="1" applyFill="1" applyBorder="1" applyAlignment="1">
      <alignment horizontal="center" vertical="center"/>
    </xf>
    <xf numFmtId="0" fontId="0" fillId="0" borderId="23" xfId="0" applyFill="1" applyBorder="1" applyAlignment="1">
      <alignment vertical="center"/>
    </xf>
    <xf numFmtId="0" fontId="4" fillId="0" borderId="24" xfId="0" applyFont="1" applyFill="1" applyBorder="1" applyAlignment="1">
      <alignment horizontal="center" vertical="center"/>
    </xf>
    <xf numFmtId="0" fontId="0" fillId="0" borderId="25" xfId="0" applyFill="1" applyBorder="1" applyAlignment="1">
      <alignment vertical="center"/>
    </xf>
    <xf numFmtId="0" fontId="0" fillId="0" borderId="26" xfId="0" applyFill="1" applyBorder="1" applyAlignment="1">
      <alignment vertical="center"/>
    </xf>
    <xf numFmtId="0" fontId="0" fillId="0" borderId="27" xfId="0" applyFill="1" applyBorder="1" applyAlignment="1">
      <alignment vertical="center"/>
    </xf>
    <xf numFmtId="0" fontId="4" fillId="0" borderId="27" xfId="0" applyFont="1" applyFill="1" applyBorder="1" applyAlignment="1">
      <alignment horizontal="center" vertical="center" wrapText="1"/>
    </xf>
    <xf numFmtId="4" fontId="30" fillId="55" borderId="18" xfId="0" applyNumberFormat="1" applyFont="1" applyFill="1" applyBorder="1" applyAlignment="1">
      <alignment horizontal="center" vertical="center" wrapText="1"/>
    </xf>
    <xf numFmtId="219" fontId="38" fillId="0" borderId="18" xfId="0" applyNumberFormat="1" applyFont="1" applyFill="1" applyBorder="1" applyAlignment="1">
      <alignment horizontal="center" vertical="center" wrapText="1"/>
    </xf>
    <xf numFmtId="219" fontId="33" fillId="0" borderId="18" xfId="0" applyNumberFormat="1" applyFont="1" applyFill="1" applyBorder="1" applyAlignment="1">
      <alignment horizontal="center"/>
    </xf>
    <xf numFmtId="219" fontId="33" fillId="0" borderId="18" xfId="0" applyNumberFormat="1" applyFont="1" applyFill="1" applyBorder="1" applyAlignment="1">
      <alignment horizontal="center" vertical="center"/>
    </xf>
    <xf numFmtId="219" fontId="0" fillId="0" borderId="18" xfId="0" applyNumberFormat="1" applyFill="1" applyBorder="1" applyAlignment="1">
      <alignment/>
    </xf>
    <xf numFmtId="219" fontId="35" fillId="52" borderId="20" xfId="0" applyNumberFormat="1" applyFont="1" applyFill="1" applyBorder="1" applyAlignment="1">
      <alignment horizontal="center" vertical="center" wrapText="1"/>
    </xf>
    <xf numFmtId="219" fontId="4" fillId="0" borderId="18" xfId="0" applyNumberFormat="1" applyFont="1" applyFill="1" applyBorder="1" applyAlignment="1">
      <alignment/>
    </xf>
    <xf numFmtId="219" fontId="35" fillId="52" borderId="18" xfId="0" applyNumberFormat="1" applyFont="1" applyFill="1" applyBorder="1" applyAlignment="1">
      <alignment horizontal="center" vertical="center" wrapText="1"/>
    </xf>
    <xf numFmtId="0" fontId="35" fillId="54" borderId="0" xfId="0" applyFont="1" applyFill="1" applyBorder="1" applyAlignment="1">
      <alignment horizontal="center" vertical="center" wrapText="1"/>
    </xf>
    <xf numFmtId="191" fontId="35" fillId="54" borderId="20" xfId="0" applyNumberFormat="1" applyFont="1" applyFill="1" applyBorder="1" applyAlignment="1">
      <alignment horizontal="center" vertical="center" wrapText="1"/>
    </xf>
    <xf numFmtId="0" fontId="27" fillId="54" borderId="18" xfId="0" applyFont="1" applyFill="1" applyBorder="1" applyAlignment="1">
      <alignment horizontal="center" vertical="center"/>
    </xf>
    <xf numFmtId="0" fontId="20" fillId="54" borderId="18" xfId="0" applyFont="1" applyFill="1" applyBorder="1" applyAlignment="1">
      <alignment horizontal="center" vertical="center" wrapText="1"/>
    </xf>
    <xf numFmtId="4" fontId="20" fillId="54" borderId="18" xfId="0" applyNumberFormat="1" applyFont="1" applyFill="1" applyBorder="1" applyAlignment="1">
      <alignment horizontal="center" vertical="center"/>
    </xf>
    <xf numFmtId="4" fontId="20" fillId="54" borderId="20" xfId="0" applyNumberFormat="1" applyFont="1" applyFill="1" applyBorder="1" applyAlignment="1">
      <alignment horizontal="center" vertical="center"/>
    </xf>
    <xf numFmtId="185" fontId="39" fillId="55" borderId="18" xfId="162" applyNumberFormat="1" applyFont="1" applyFill="1" applyBorder="1" applyAlignment="1">
      <alignment horizontal="left" vertical="center" wrapText="1"/>
      <protection/>
    </xf>
    <xf numFmtId="0" fontId="39" fillId="55" borderId="18" xfId="0" applyFont="1" applyFill="1" applyBorder="1" applyAlignment="1">
      <alignment horizontal="center" vertical="center"/>
    </xf>
    <xf numFmtId="0" fontId="28" fillId="55" borderId="18" xfId="0" applyFont="1" applyFill="1" applyBorder="1" applyAlignment="1">
      <alignment horizontal="center" vertical="center" wrapText="1"/>
    </xf>
    <xf numFmtId="4" fontId="39" fillId="55" borderId="18" xfId="162" applyNumberFormat="1" applyFont="1" applyFill="1" applyBorder="1" applyAlignment="1">
      <alignment horizontal="center" vertical="center"/>
      <protection/>
    </xf>
    <xf numFmtId="4" fontId="39" fillId="55" borderId="18" xfId="0" applyNumberFormat="1" applyFont="1" applyFill="1" applyBorder="1" applyAlignment="1">
      <alignment horizontal="center" vertical="center"/>
    </xf>
    <xf numFmtId="219" fontId="39" fillId="55" borderId="18" xfId="0" applyNumberFormat="1" applyFont="1" applyFill="1" applyBorder="1" applyAlignment="1">
      <alignment horizontal="center" vertical="center"/>
    </xf>
    <xf numFmtId="219" fontId="39" fillId="55" borderId="18" xfId="0" applyNumberFormat="1" applyFont="1" applyFill="1" applyBorder="1" applyAlignment="1">
      <alignment vertical="center"/>
    </xf>
    <xf numFmtId="0" fontId="30" fillId="55" borderId="28" xfId="0" applyFont="1" applyFill="1" applyBorder="1" applyAlignment="1">
      <alignment horizontal="left" vertical="center" wrapText="1"/>
    </xf>
    <xf numFmtId="49" fontId="30" fillId="55" borderId="28" xfId="0" applyNumberFormat="1" applyFont="1" applyFill="1" applyBorder="1" applyAlignment="1">
      <alignment horizontal="left" vertical="center" wrapText="1"/>
    </xf>
    <xf numFmtId="0" fontId="39" fillId="55" borderId="18" xfId="0" applyFont="1" applyFill="1" applyBorder="1" applyAlignment="1">
      <alignment horizontal="left" wrapText="1"/>
    </xf>
    <xf numFmtId="0" fontId="39" fillId="55" borderId="18" xfId="0" applyFont="1" applyFill="1" applyBorder="1" applyAlignment="1">
      <alignment wrapText="1"/>
    </xf>
    <xf numFmtId="0" fontId="27" fillId="55" borderId="18" xfId="0" applyFont="1" applyFill="1" applyBorder="1" applyAlignment="1">
      <alignment vertical="top" wrapText="1"/>
    </xf>
    <xf numFmtId="0" fontId="30" fillId="55" borderId="18" xfId="0" applyFont="1" applyFill="1" applyBorder="1" applyAlignment="1">
      <alignment horizontal="left" vertical="center" wrapText="1"/>
    </xf>
    <xf numFmtId="0" fontId="30" fillId="0" borderId="21" xfId="0" applyFont="1" applyFill="1" applyBorder="1" applyAlignment="1">
      <alignment horizontal="left" vertical="center" wrapText="1"/>
    </xf>
    <xf numFmtId="219" fontId="33" fillId="55" borderId="18" xfId="0" applyNumberFormat="1" applyFont="1" applyFill="1" applyBorder="1" applyAlignment="1">
      <alignment horizontal="center" vertical="center"/>
    </xf>
    <xf numFmtId="219" fontId="33" fillId="55" borderId="18" xfId="0" applyNumberFormat="1" applyFont="1" applyFill="1" applyBorder="1" applyAlignment="1">
      <alignment horizontal="center"/>
    </xf>
    <xf numFmtId="0" fontId="40" fillId="0" borderId="29" xfId="0" applyFont="1" applyFill="1" applyBorder="1" applyAlignment="1">
      <alignment horizontal="left" vertical="center" wrapText="1"/>
    </xf>
    <xf numFmtId="49" fontId="30" fillId="54" borderId="18" xfId="0" applyNumberFormat="1" applyFont="1" applyFill="1" applyBorder="1" applyAlignment="1">
      <alignment horizontal="center" vertical="center"/>
    </xf>
    <xf numFmtId="0" fontId="38" fillId="54" borderId="18" xfId="0" applyFont="1" applyFill="1" applyBorder="1" applyAlignment="1">
      <alignment horizontal="left" vertical="center" wrapText="1"/>
    </xf>
    <xf numFmtId="186" fontId="41" fillId="54" borderId="18" xfId="0" applyNumberFormat="1" applyFont="1" applyFill="1" applyBorder="1" applyAlignment="1">
      <alignment horizontal="center" vertical="center"/>
    </xf>
    <xf numFmtId="0" fontId="39" fillId="54" borderId="22" xfId="0" applyFont="1" applyFill="1" applyBorder="1" applyAlignment="1">
      <alignment horizontal="center" vertical="center"/>
    </xf>
    <xf numFmtId="219" fontId="33" fillId="54" borderId="18" xfId="0" applyNumberFormat="1" applyFont="1" applyFill="1" applyBorder="1" applyAlignment="1">
      <alignment horizontal="center"/>
    </xf>
    <xf numFmtId="2" fontId="39" fillId="54" borderId="18" xfId="0" applyNumberFormat="1" applyFont="1" applyFill="1" applyBorder="1" applyAlignment="1">
      <alignment horizontal="center" vertical="center"/>
    </xf>
    <xf numFmtId="0" fontId="30" fillId="0" borderId="20" xfId="0" applyFont="1" applyFill="1" applyBorder="1" applyAlignment="1">
      <alignment horizontal="left" vertical="center" wrapText="1"/>
    </xf>
    <xf numFmtId="4" fontId="38" fillId="54" borderId="18" xfId="0" applyNumberFormat="1" applyFont="1" applyFill="1" applyBorder="1" applyAlignment="1">
      <alignment horizontal="center" vertical="center" wrapText="1"/>
    </xf>
    <xf numFmtId="0" fontId="28" fillId="54" borderId="18" xfId="0" applyFont="1" applyFill="1" applyBorder="1" applyAlignment="1">
      <alignment horizontal="center" vertical="center"/>
    </xf>
    <xf numFmtId="0" fontId="38" fillId="54" borderId="20" xfId="0" applyFont="1" applyFill="1" applyBorder="1" applyAlignment="1">
      <alignment horizontal="left" vertical="center" wrapText="1"/>
    </xf>
    <xf numFmtId="216" fontId="39" fillId="55" borderId="18" xfId="0" applyNumberFormat="1" applyFont="1" applyFill="1" applyBorder="1" applyAlignment="1">
      <alignment horizontal="center" vertical="center"/>
    </xf>
    <xf numFmtId="0" fontId="48" fillId="0" borderId="21" xfId="0" applyFont="1" applyFill="1" applyBorder="1" applyAlignment="1">
      <alignment horizontal="left" vertical="center" wrapText="1"/>
    </xf>
    <xf numFmtId="2" fontId="33" fillId="55" borderId="18" xfId="0" applyNumberFormat="1" applyFont="1" applyFill="1" applyBorder="1" applyAlignment="1">
      <alignment horizontal="center" vertical="center"/>
    </xf>
    <xf numFmtId="2" fontId="4" fillId="55" borderId="18" xfId="0" applyNumberFormat="1" applyFont="1" applyFill="1" applyBorder="1" applyAlignment="1">
      <alignment horizontal="center" vertical="center"/>
    </xf>
    <xf numFmtId="219" fontId="0" fillId="0" borderId="18" xfId="0" applyNumberFormat="1" applyFont="1" applyFill="1" applyBorder="1" applyAlignment="1">
      <alignment horizontal="center" vertical="center"/>
    </xf>
    <xf numFmtId="0" fontId="4" fillId="0" borderId="30" xfId="0" applyFont="1" applyFill="1" applyBorder="1" applyAlignment="1">
      <alignment vertical="center"/>
    </xf>
    <xf numFmtId="0" fontId="4" fillId="0" borderId="31" xfId="0" applyFont="1" applyBorder="1" applyAlignment="1">
      <alignment vertical="center"/>
    </xf>
    <xf numFmtId="0" fontId="4" fillId="0" borderId="32" xfId="0" applyFont="1" applyFill="1" applyBorder="1" applyAlignment="1">
      <alignment horizontal="center" vertical="center" wrapText="1"/>
    </xf>
    <xf numFmtId="0" fontId="4" fillId="0" borderId="33" xfId="0" applyFont="1" applyBorder="1" applyAlignment="1">
      <alignment horizontal="center" vertical="center" wrapText="1"/>
    </xf>
    <xf numFmtId="0" fontId="31" fillId="0" borderId="0" xfId="0" applyFont="1" applyFill="1" applyAlignment="1">
      <alignment horizontal="left" wrapText="1"/>
    </xf>
    <xf numFmtId="0" fontId="35" fillId="52" borderId="18" xfId="0" applyFont="1" applyFill="1" applyBorder="1" applyAlignment="1">
      <alignment horizontal="center" vertical="center" wrapText="1"/>
    </xf>
    <xf numFmtId="0" fontId="35" fillId="52" borderId="22" xfId="0" applyFont="1" applyFill="1" applyBorder="1" applyAlignment="1">
      <alignment horizontal="center" vertical="center" wrapText="1"/>
    </xf>
    <xf numFmtId="0" fontId="28" fillId="0" borderId="0" xfId="0" applyFont="1" applyFill="1" applyAlignment="1">
      <alignment horizontal="center" wrapText="1"/>
    </xf>
    <xf numFmtId="0" fontId="0" fillId="0" borderId="0" xfId="0" applyAlignment="1">
      <alignment/>
    </xf>
    <xf numFmtId="49" fontId="30" fillId="0" borderId="34" xfId="0" applyNumberFormat="1" applyFont="1" applyFill="1" applyBorder="1" applyAlignment="1">
      <alignment horizontal="center" vertical="center" wrapText="1"/>
    </xf>
    <xf numFmtId="0" fontId="0" fillId="0" borderId="35" xfId="0" applyBorder="1" applyAlignment="1">
      <alignment vertical="center"/>
    </xf>
    <xf numFmtId="0" fontId="29" fillId="0" borderId="36" xfId="0" applyFont="1" applyFill="1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29" fillId="0" borderId="36" xfId="0" applyFont="1" applyFill="1" applyBorder="1" applyAlignment="1">
      <alignment horizontal="center" vertical="center" wrapText="1"/>
    </xf>
    <xf numFmtId="0" fontId="4" fillId="0" borderId="36" xfId="0" applyFont="1" applyFill="1" applyBorder="1" applyAlignment="1">
      <alignment horizontal="center" vertical="center" wrapText="1"/>
    </xf>
    <xf numFmtId="0" fontId="0" fillId="0" borderId="26" xfId="0" applyBorder="1" applyAlignment="1">
      <alignment vertical="center"/>
    </xf>
    <xf numFmtId="0" fontId="0" fillId="0" borderId="33" xfId="0" applyBorder="1" applyAlignment="1">
      <alignment horizontal="center" vertical="center" wrapText="1"/>
    </xf>
  </cellXfs>
  <cellStyles count="234">
    <cellStyle name="Normal" xfId="0"/>
    <cellStyle name="20% - Акцент1" xfId="15"/>
    <cellStyle name="20% - Акцент1 2" xfId="16"/>
    <cellStyle name="20% - Акцент1 3" xfId="17"/>
    <cellStyle name="20% - Акцент2" xfId="18"/>
    <cellStyle name="20% - Акцент2 2" xfId="19"/>
    <cellStyle name="20% - Акцент2 3" xfId="20"/>
    <cellStyle name="20% - Акцент3" xfId="21"/>
    <cellStyle name="20% - Акцент3 2" xfId="22"/>
    <cellStyle name="20% - Акцент3 3" xfId="23"/>
    <cellStyle name="20% - Акцент4" xfId="24"/>
    <cellStyle name="20% - Акцент4 2" xfId="25"/>
    <cellStyle name="20% - Акцент4 3" xfId="26"/>
    <cellStyle name="20% - Акцент5" xfId="27"/>
    <cellStyle name="20% - Акцент5 2" xfId="28"/>
    <cellStyle name="20% - Акцент5 3" xfId="29"/>
    <cellStyle name="20% - Акцент6" xfId="30"/>
    <cellStyle name="20% - Акцент6 2" xfId="31"/>
    <cellStyle name="20% - Акцент6 3" xfId="32"/>
    <cellStyle name="20% – Акцентування1" xfId="33"/>
    <cellStyle name="20% – Акцентування2" xfId="34"/>
    <cellStyle name="20% – Акцентування3" xfId="35"/>
    <cellStyle name="20% – Акцентування4" xfId="36"/>
    <cellStyle name="20% – Акцентування5" xfId="37"/>
    <cellStyle name="20% – Акцентування6" xfId="38"/>
    <cellStyle name="40% - Акцент1" xfId="39"/>
    <cellStyle name="40% - Акцент1 2" xfId="40"/>
    <cellStyle name="40% - Акцент1 3" xfId="41"/>
    <cellStyle name="40% - Акцент2" xfId="42"/>
    <cellStyle name="40% - Акцент2 2" xfId="43"/>
    <cellStyle name="40% - Акцент2 3" xfId="44"/>
    <cellStyle name="40% - Акцент3" xfId="45"/>
    <cellStyle name="40% - Акцент3 2" xfId="46"/>
    <cellStyle name="40% - Акцент3 3" xfId="47"/>
    <cellStyle name="40% - Акцент4" xfId="48"/>
    <cellStyle name="40% - Акцент4 2" xfId="49"/>
    <cellStyle name="40% - Акцент4 3" xfId="50"/>
    <cellStyle name="40% - Акцент5" xfId="51"/>
    <cellStyle name="40% - Акцент5 2" xfId="52"/>
    <cellStyle name="40% - Акцент5 3" xfId="53"/>
    <cellStyle name="40% - Акцент6" xfId="54"/>
    <cellStyle name="40% - Акцент6 2" xfId="55"/>
    <cellStyle name="40% - Акцент6 3" xfId="56"/>
    <cellStyle name="40% – Акцентування1" xfId="57"/>
    <cellStyle name="40% – Акцентування2" xfId="58"/>
    <cellStyle name="40% – Акцентування3" xfId="59"/>
    <cellStyle name="40% – Акцентування4" xfId="60"/>
    <cellStyle name="40% – Акцентування5" xfId="61"/>
    <cellStyle name="40% – Акцентування6" xfId="62"/>
    <cellStyle name="60% - Акцент1" xfId="63"/>
    <cellStyle name="60% - Акцент1 2" xfId="64"/>
    <cellStyle name="60% - Акцент1 3" xfId="65"/>
    <cellStyle name="60% - Акцент2" xfId="66"/>
    <cellStyle name="60% - Акцент2 2" xfId="67"/>
    <cellStyle name="60% - Акцент2 3" xfId="68"/>
    <cellStyle name="60% - Акцент3" xfId="69"/>
    <cellStyle name="60% - Акцент3 2" xfId="70"/>
    <cellStyle name="60% - Акцент3 3" xfId="71"/>
    <cellStyle name="60% - Акцент4" xfId="72"/>
    <cellStyle name="60% - Акцент4 2" xfId="73"/>
    <cellStyle name="60% - Акцент4 3" xfId="74"/>
    <cellStyle name="60% - Акцент5" xfId="75"/>
    <cellStyle name="60% - Акцент5 2" xfId="76"/>
    <cellStyle name="60% - Акцент5 3" xfId="77"/>
    <cellStyle name="60% - Акцент6" xfId="78"/>
    <cellStyle name="60% - Акцент6 2" xfId="79"/>
    <cellStyle name="60% - Акцент6 3" xfId="80"/>
    <cellStyle name="60% – Акцентування1" xfId="81"/>
    <cellStyle name="60% – Акцентування2" xfId="82"/>
    <cellStyle name="60% – Акцентування3" xfId="83"/>
    <cellStyle name="60% – Акцентування4" xfId="84"/>
    <cellStyle name="60% – Акцентування5" xfId="85"/>
    <cellStyle name="60% – Акцентування6" xfId="86"/>
    <cellStyle name="Normal_Local Bud Plan 2003" xfId="87"/>
    <cellStyle name="Акцент1" xfId="88"/>
    <cellStyle name="Акцент1 2" xfId="89"/>
    <cellStyle name="Акцент1 3" xfId="90"/>
    <cellStyle name="Акцент2" xfId="91"/>
    <cellStyle name="Акцент2 2" xfId="92"/>
    <cellStyle name="Акцент2 3" xfId="93"/>
    <cellStyle name="Акцент3" xfId="94"/>
    <cellStyle name="Акцент3 2" xfId="95"/>
    <cellStyle name="Акцент3 3" xfId="96"/>
    <cellStyle name="Акцент4" xfId="97"/>
    <cellStyle name="Акцент4 2" xfId="98"/>
    <cellStyle name="Акцент4 3" xfId="99"/>
    <cellStyle name="Акцент5" xfId="100"/>
    <cellStyle name="Акцент5 2" xfId="101"/>
    <cellStyle name="Акцент5 3" xfId="102"/>
    <cellStyle name="Акцент6" xfId="103"/>
    <cellStyle name="Акцент6 2" xfId="104"/>
    <cellStyle name="Акцент6 3" xfId="105"/>
    <cellStyle name="Акцентування1" xfId="106"/>
    <cellStyle name="Акцентування2" xfId="107"/>
    <cellStyle name="Акцентування3" xfId="108"/>
    <cellStyle name="Акцентування4" xfId="109"/>
    <cellStyle name="Акцентування5" xfId="110"/>
    <cellStyle name="Акцентування6" xfId="111"/>
    <cellStyle name="Ввід" xfId="112"/>
    <cellStyle name="Ввод " xfId="113"/>
    <cellStyle name="Ввод  2" xfId="114"/>
    <cellStyle name="Ввод  3" xfId="115"/>
    <cellStyle name="Вывод" xfId="116"/>
    <cellStyle name="Вывод 2" xfId="117"/>
    <cellStyle name="Вывод 3" xfId="118"/>
    <cellStyle name="Вычисление" xfId="119"/>
    <cellStyle name="Вычисление 2" xfId="120"/>
    <cellStyle name="Вычисление 3" xfId="121"/>
    <cellStyle name="Hyperlink" xfId="122"/>
    <cellStyle name="Гиперссылка 2" xfId="123"/>
    <cellStyle name="Currency" xfId="124"/>
    <cellStyle name="Currency [0]" xfId="125"/>
    <cellStyle name="Денежный 2" xfId="126"/>
    <cellStyle name="Денежный 3" xfId="127"/>
    <cellStyle name="Денежный 3 2" xfId="128"/>
    <cellStyle name="Добре" xfId="129"/>
    <cellStyle name="Заголовок 1" xfId="130"/>
    <cellStyle name="Заголовок 1 2" xfId="131"/>
    <cellStyle name="Заголовок 1 3" xfId="132"/>
    <cellStyle name="Заголовок 2" xfId="133"/>
    <cellStyle name="Заголовок 2 2" xfId="134"/>
    <cellStyle name="Заголовок 2 3" xfId="135"/>
    <cellStyle name="Заголовок 3" xfId="136"/>
    <cellStyle name="Заголовок 3 2" xfId="137"/>
    <cellStyle name="Заголовок 3 3" xfId="138"/>
    <cellStyle name="Заголовок 4" xfId="139"/>
    <cellStyle name="Заголовок 4 2" xfId="140"/>
    <cellStyle name="Заголовок 4 3" xfId="141"/>
    <cellStyle name="Звичайний 10" xfId="142"/>
    <cellStyle name="Звичайний 11" xfId="143"/>
    <cellStyle name="Звичайний 12" xfId="144"/>
    <cellStyle name="Звичайний 13" xfId="145"/>
    <cellStyle name="Звичайний 14" xfId="146"/>
    <cellStyle name="Звичайний 15" xfId="147"/>
    <cellStyle name="Звичайний 16" xfId="148"/>
    <cellStyle name="Звичайний 17" xfId="149"/>
    <cellStyle name="Звичайний 18" xfId="150"/>
    <cellStyle name="Звичайний 19" xfId="151"/>
    <cellStyle name="Звичайний 2" xfId="152"/>
    <cellStyle name="Звичайний 20" xfId="153"/>
    <cellStyle name="Звичайний 3" xfId="154"/>
    <cellStyle name="Звичайний 4" xfId="155"/>
    <cellStyle name="Звичайний 5" xfId="156"/>
    <cellStyle name="Звичайний 6" xfId="157"/>
    <cellStyle name="Звичайний 7" xfId="158"/>
    <cellStyle name="Звичайний 8" xfId="159"/>
    <cellStyle name="Звичайний 9" xfId="160"/>
    <cellStyle name="Звичайний_Xl0000125" xfId="161"/>
    <cellStyle name="Звичайний_Додаток _ 3 зм_ни 4575" xfId="162"/>
    <cellStyle name="Зв'язана клітинка" xfId="163"/>
    <cellStyle name="Итог" xfId="164"/>
    <cellStyle name="Итог 2" xfId="165"/>
    <cellStyle name="Итог 3" xfId="166"/>
    <cellStyle name="Контрольна клітинка" xfId="167"/>
    <cellStyle name="Контрольная ячейка" xfId="168"/>
    <cellStyle name="Контрольная ячейка 2" xfId="169"/>
    <cellStyle name="Контрольная ячейка 3" xfId="170"/>
    <cellStyle name="Назва" xfId="171"/>
    <cellStyle name="Название" xfId="172"/>
    <cellStyle name="Название 2" xfId="173"/>
    <cellStyle name="Название 3" xfId="174"/>
    <cellStyle name="Нейтральный" xfId="175"/>
    <cellStyle name="Нейтральный 2" xfId="176"/>
    <cellStyle name="Нейтральный 3" xfId="177"/>
    <cellStyle name="Обчислення" xfId="178"/>
    <cellStyle name="Обычный 10" xfId="179"/>
    <cellStyle name="Обычный 11" xfId="180"/>
    <cellStyle name="Обычный 12" xfId="181"/>
    <cellStyle name="Обычный 13" xfId="182"/>
    <cellStyle name="Обычный 16" xfId="183"/>
    <cellStyle name="Обычный 18" xfId="184"/>
    <cellStyle name="Обычный 2" xfId="185"/>
    <cellStyle name="Обычный 2 2" xfId="186"/>
    <cellStyle name="Обычный 2 3" xfId="187"/>
    <cellStyle name="Обычный 2 4" xfId="188"/>
    <cellStyle name="Обычный 2 5" xfId="189"/>
    <cellStyle name="Обычный 2 6" xfId="190"/>
    <cellStyle name="Обычный 2 7" xfId="191"/>
    <cellStyle name="Обычный 2 8" xfId="192"/>
    <cellStyle name="Обычный 2 9" xfId="193"/>
    <cellStyle name="Обычный 2_дод до поясн" xfId="194"/>
    <cellStyle name="Обычный 3" xfId="195"/>
    <cellStyle name="Обычный 3 2" xfId="196"/>
    <cellStyle name="Обычный 3 3" xfId="197"/>
    <cellStyle name="Обычный 3 4" xfId="198"/>
    <cellStyle name="Обычный 3_дод до поясн" xfId="199"/>
    <cellStyle name="Обычный 4" xfId="200"/>
    <cellStyle name="Обычный 4 2" xfId="201"/>
    <cellStyle name="Обычный 4 3" xfId="202"/>
    <cellStyle name="Обычный 4_додаткові пропозиції" xfId="203"/>
    <cellStyle name="Обычный 43" xfId="204"/>
    <cellStyle name="Обычный 5" xfId="205"/>
    <cellStyle name="Обычный 6" xfId="206"/>
    <cellStyle name="Обычный 6 2" xfId="207"/>
    <cellStyle name="Обычный 7" xfId="208"/>
    <cellStyle name="Обычный 8" xfId="209"/>
    <cellStyle name="Обычный 9" xfId="210"/>
    <cellStyle name="Обычный 9 2" xfId="211"/>
    <cellStyle name="Followed Hyperlink" xfId="212"/>
    <cellStyle name="Підсумок" xfId="213"/>
    <cellStyle name="Плохой" xfId="214"/>
    <cellStyle name="Плохой 2" xfId="215"/>
    <cellStyle name="Плохой 3" xfId="216"/>
    <cellStyle name="Поганий" xfId="217"/>
    <cellStyle name="Пояснение" xfId="218"/>
    <cellStyle name="Пояснение 2" xfId="219"/>
    <cellStyle name="Пояснение 3" xfId="220"/>
    <cellStyle name="Примечание" xfId="221"/>
    <cellStyle name="Примечание 2" xfId="222"/>
    <cellStyle name="Примечание 3" xfId="223"/>
    <cellStyle name="Примітка" xfId="224"/>
    <cellStyle name="Percent" xfId="225"/>
    <cellStyle name="Процентный 2" xfId="226"/>
    <cellStyle name="Результат" xfId="227"/>
    <cellStyle name="Связанная ячейка" xfId="228"/>
    <cellStyle name="Связанная ячейка 2" xfId="229"/>
    <cellStyle name="Связанная ячейка 3" xfId="230"/>
    <cellStyle name="Середній" xfId="231"/>
    <cellStyle name="Стиль 1" xfId="232"/>
    <cellStyle name="Текст попередження" xfId="233"/>
    <cellStyle name="Текст пояснення" xfId="234"/>
    <cellStyle name="Текст предупреждения" xfId="235"/>
    <cellStyle name="Текст предупреждения 2" xfId="236"/>
    <cellStyle name="Текст предупреждения 3" xfId="237"/>
    <cellStyle name="Тысячи [0]_Розподіл (2)" xfId="238"/>
    <cellStyle name="Тысячи_бюджет 1998 по клас." xfId="239"/>
    <cellStyle name="Comma" xfId="240"/>
    <cellStyle name="Comma [0]" xfId="241"/>
    <cellStyle name="Финансовый 2" xfId="242"/>
    <cellStyle name="Финансовый 3" xfId="243"/>
    <cellStyle name="Финансовый 3 2" xfId="244"/>
    <cellStyle name="Хороший" xfId="245"/>
    <cellStyle name="Хороший 2" xfId="246"/>
    <cellStyle name="Хороший 3" xfId="24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143"/>
  <sheetViews>
    <sheetView tabSelected="1" zoomScale="90" zoomScaleNormal="90" zoomScalePageLayoutView="0" workbookViewId="0" topLeftCell="A1">
      <selection activeCell="AC10" sqref="AC10"/>
    </sheetView>
  </sheetViews>
  <sheetFormatPr defaultColWidth="8.66015625" defaultRowHeight="12.75"/>
  <cols>
    <col min="1" max="1" width="8.33203125" style="21" customWidth="1"/>
    <col min="2" max="2" width="68" style="2" customWidth="1"/>
    <col min="3" max="3" width="21.5" style="1" customWidth="1"/>
    <col min="4" max="4" width="20" style="1" hidden="1" customWidth="1"/>
    <col min="5" max="5" width="16.33203125" style="1" hidden="1" customWidth="1"/>
    <col min="6" max="6" width="25.66015625" style="1" hidden="1" customWidth="1"/>
    <col min="7" max="7" width="26.33203125" style="1" hidden="1" customWidth="1"/>
    <col min="8" max="10" width="20.33203125" style="1" hidden="1" customWidth="1"/>
    <col min="11" max="11" width="22.33203125" style="1" hidden="1" customWidth="1"/>
    <col min="12" max="12" width="21.33203125" style="1" hidden="1" customWidth="1"/>
    <col min="13" max="14" width="20.33203125" style="1" hidden="1" customWidth="1"/>
    <col min="15" max="15" width="22.66015625" style="1" hidden="1" customWidth="1"/>
    <col min="16" max="16" width="32.33203125" style="1" hidden="1" customWidth="1"/>
    <col min="17" max="17" width="30.33203125" style="1" hidden="1" customWidth="1"/>
    <col min="18" max="18" width="28.66015625" style="1" hidden="1" customWidth="1"/>
    <col min="19" max="19" width="0.328125" style="1" hidden="1" customWidth="1"/>
    <col min="20" max="20" width="15.33203125" style="1" hidden="1" customWidth="1"/>
    <col min="21" max="21" width="24.33203125" style="1" hidden="1" customWidth="1"/>
    <col min="22" max="22" width="21.33203125" style="1" hidden="1" customWidth="1"/>
    <col min="23" max="23" width="27.33203125" style="1" hidden="1" customWidth="1"/>
    <col min="24" max="24" width="23.66015625" style="1" hidden="1" customWidth="1"/>
    <col min="25" max="25" width="25.33203125" style="1" hidden="1" customWidth="1"/>
    <col min="26" max="26" width="20.33203125" style="1" hidden="1" customWidth="1"/>
    <col min="27" max="27" width="45.33203125" style="1" hidden="1" customWidth="1"/>
    <col min="28" max="28" width="22" style="1" hidden="1" customWidth="1"/>
    <col min="29" max="29" width="17.33203125" style="6" customWidth="1"/>
    <col min="30" max="30" width="18.5" style="1" customWidth="1"/>
    <col min="31" max="31" width="19.16015625" style="1" customWidth="1"/>
    <col min="32" max="32" width="18.83203125" style="1" customWidth="1"/>
    <col min="33" max="33" width="14.66015625" style="1" bestFit="1" customWidth="1"/>
    <col min="34" max="16384" width="8.66015625" style="1" customWidth="1"/>
  </cols>
  <sheetData>
    <row r="1" ht="9.75" customHeight="1">
      <c r="AE1" s="30"/>
    </row>
    <row r="2" spans="1:31" ht="20.25" customHeight="1">
      <c r="A2" s="141" t="s">
        <v>24</v>
      </c>
      <c r="B2" s="141"/>
      <c r="C2" s="141"/>
      <c r="D2" s="142"/>
      <c r="E2" s="142"/>
      <c r="F2" s="142"/>
      <c r="G2" s="142"/>
      <c r="H2" s="142"/>
      <c r="I2" s="142"/>
      <c r="J2" s="142"/>
      <c r="K2" s="142"/>
      <c r="L2" s="142"/>
      <c r="M2" s="142"/>
      <c r="N2" s="142"/>
      <c r="O2" s="142"/>
      <c r="P2" s="142"/>
      <c r="Q2" s="142"/>
      <c r="R2" s="142"/>
      <c r="S2" s="142"/>
      <c r="T2" s="142"/>
      <c r="U2" s="142"/>
      <c r="V2" s="142"/>
      <c r="W2" s="142"/>
      <c r="X2" s="142"/>
      <c r="Y2" s="142"/>
      <c r="Z2" s="142"/>
      <c r="AA2" s="142"/>
      <c r="AB2" s="142"/>
      <c r="AC2" s="142"/>
      <c r="AD2" s="142"/>
      <c r="AE2" s="142"/>
    </row>
    <row r="3" spans="2:30" ht="6.75" customHeight="1" thickBot="1">
      <c r="B3" s="7"/>
      <c r="C3" s="7"/>
      <c r="AD3" s="18"/>
    </row>
    <row r="4" spans="1:33" ht="12.75">
      <c r="A4" s="143" t="s">
        <v>16</v>
      </c>
      <c r="B4" s="145" t="s">
        <v>17</v>
      </c>
      <c r="C4" s="147" t="s">
        <v>35</v>
      </c>
      <c r="D4" s="82"/>
      <c r="E4" s="82"/>
      <c r="F4" s="82"/>
      <c r="G4" s="82"/>
      <c r="H4" s="82"/>
      <c r="I4" s="82"/>
      <c r="J4" s="82"/>
      <c r="K4" s="82"/>
      <c r="L4" s="82"/>
      <c r="M4" s="82"/>
      <c r="N4" s="82"/>
      <c r="O4" s="82"/>
      <c r="P4" s="82"/>
      <c r="Q4" s="82"/>
      <c r="R4" s="82"/>
      <c r="S4" s="82"/>
      <c r="T4" s="82"/>
      <c r="U4" s="82"/>
      <c r="V4" s="82"/>
      <c r="W4" s="82"/>
      <c r="X4" s="82"/>
      <c r="Y4" s="82"/>
      <c r="Z4" s="82"/>
      <c r="AA4" s="82"/>
      <c r="AB4" s="82"/>
      <c r="AC4" s="148" t="s">
        <v>65</v>
      </c>
      <c r="AD4" s="136" t="s">
        <v>66</v>
      </c>
      <c r="AE4" s="83" t="s">
        <v>130</v>
      </c>
      <c r="AF4" s="136" t="s">
        <v>224</v>
      </c>
      <c r="AG4" s="134" t="s">
        <v>167</v>
      </c>
    </row>
    <row r="5" spans="1:33" ht="41.25" customHeight="1" thickBot="1">
      <c r="A5" s="144"/>
      <c r="B5" s="146"/>
      <c r="C5" s="146"/>
      <c r="D5" s="84"/>
      <c r="E5" s="85"/>
      <c r="F5" s="85"/>
      <c r="G5" s="85"/>
      <c r="H5" s="85"/>
      <c r="I5" s="85"/>
      <c r="J5" s="85"/>
      <c r="K5" s="85"/>
      <c r="L5" s="85"/>
      <c r="M5" s="85"/>
      <c r="N5" s="85"/>
      <c r="O5" s="85"/>
      <c r="P5" s="85"/>
      <c r="Q5" s="85"/>
      <c r="R5" s="85"/>
      <c r="S5" s="85"/>
      <c r="T5" s="85"/>
      <c r="U5" s="85"/>
      <c r="V5" s="85"/>
      <c r="W5" s="85"/>
      <c r="X5" s="85"/>
      <c r="Y5" s="85"/>
      <c r="Z5" s="85"/>
      <c r="AA5" s="85"/>
      <c r="AB5" s="86"/>
      <c r="AC5" s="149"/>
      <c r="AD5" s="150"/>
      <c r="AE5" s="87" t="s">
        <v>129</v>
      </c>
      <c r="AF5" s="137"/>
      <c r="AG5" s="135"/>
    </row>
    <row r="6" spans="1:33" ht="30">
      <c r="A6" s="31" t="s">
        <v>28</v>
      </c>
      <c r="B6" s="96" t="s">
        <v>83</v>
      </c>
      <c r="C6" s="97">
        <f>AD6</f>
        <v>32345464.439999998</v>
      </c>
      <c r="D6" s="98"/>
      <c r="E6" s="98"/>
      <c r="F6" s="98"/>
      <c r="G6" s="98"/>
      <c r="H6" s="98"/>
      <c r="I6" s="98"/>
      <c r="J6" s="98"/>
      <c r="K6" s="98"/>
      <c r="L6" s="98"/>
      <c r="M6" s="98"/>
      <c r="N6" s="98"/>
      <c r="O6" s="98"/>
      <c r="P6" s="98"/>
      <c r="Q6" s="98"/>
      <c r="R6" s="98"/>
      <c r="S6" s="98"/>
      <c r="T6" s="98"/>
      <c r="U6" s="98"/>
      <c r="V6" s="98"/>
      <c r="W6" s="98"/>
      <c r="X6" s="98"/>
      <c r="Y6" s="98"/>
      <c r="Z6" s="98"/>
      <c r="AA6" s="98"/>
      <c r="AB6" s="98"/>
      <c r="AC6" s="99"/>
      <c r="AD6" s="100">
        <f>SUM(AD7:AD64)</f>
        <v>32345464.439999998</v>
      </c>
      <c r="AE6" s="100">
        <f>AD6</f>
        <v>32345464.439999998</v>
      </c>
      <c r="AF6" s="101">
        <f>SUM(AF7:AF64)</f>
        <v>10338414.760000002</v>
      </c>
      <c r="AG6" s="81">
        <f>AF6/C6*100</f>
        <v>31.962486670047646</v>
      </c>
    </row>
    <row r="7" spans="1:33" ht="42">
      <c r="A7" s="20" t="s">
        <v>2</v>
      </c>
      <c r="B7" s="102" t="s">
        <v>171</v>
      </c>
      <c r="C7" s="88">
        <f>AD7</f>
        <v>22979</v>
      </c>
      <c r="D7" s="103"/>
      <c r="E7" s="103"/>
      <c r="F7" s="103"/>
      <c r="G7" s="103"/>
      <c r="H7" s="103"/>
      <c r="I7" s="103"/>
      <c r="J7" s="103"/>
      <c r="K7" s="103"/>
      <c r="L7" s="103"/>
      <c r="M7" s="103"/>
      <c r="N7" s="103"/>
      <c r="O7" s="103"/>
      <c r="P7" s="103"/>
      <c r="Q7" s="103"/>
      <c r="R7" s="103"/>
      <c r="S7" s="103"/>
      <c r="T7" s="103"/>
      <c r="U7" s="103"/>
      <c r="V7" s="103"/>
      <c r="W7" s="103"/>
      <c r="X7" s="103"/>
      <c r="Y7" s="103"/>
      <c r="Z7" s="103"/>
      <c r="AA7" s="103"/>
      <c r="AB7" s="103"/>
      <c r="AC7" s="104"/>
      <c r="AD7" s="105">
        <f>AE7</f>
        <v>22979</v>
      </c>
      <c r="AE7" s="106">
        <v>22979</v>
      </c>
      <c r="AF7" s="107"/>
      <c r="AG7" s="77">
        <f>AF7/C7*100</f>
        <v>0</v>
      </c>
    </row>
    <row r="8" spans="1:33" ht="27.75">
      <c r="A8" s="20" t="s">
        <v>49</v>
      </c>
      <c r="B8" s="102" t="s">
        <v>172</v>
      </c>
      <c r="C8" s="88">
        <f aca="true" t="shared" si="0" ref="C8:C64">AD8</f>
        <v>76000</v>
      </c>
      <c r="D8" s="103"/>
      <c r="E8" s="103"/>
      <c r="F8" s="103"/>
      <c r="G8" s="103"/>
      <c r="H8" s="103"/>
      <c r="I8" s="103"/>
      <c r="J8" s="103"/>
      <c r="K8" s="103"/>
      <c r="L8" s="103"/>
      <c r="M8" s="103"/>
      <c r="N8" s="103"/>
      <c r="O8" s="103"/>
      <c r="P8" s="103"/>
      <c r="Q8" s="103"/>
      <c r="R8" s="103"/>
      <c r="S8" s="103"/>
      <c r="T8" s="103"/>
      <c r="U8" s="103"/>
      <c r="V8" s="103"/>
      <c r="W8" s="103"/>
      <c r="X8" s="103"/>
      <c r="Y8" s="103"/>
      <c r="Z8" s="103"/>
      <c r="AA8" s="103"/>
      <c r="AB8" s="103"/>
      <c r="AC8" s="104"/>
      <c r="AD8" s="105">
        <f aca="true" t="shared" si="1" ref="AD8:AD64">AE8</f>
        <v>76000</v>
      </c>
      <c r="AE8" s="106">
        <v>76000</v>
      </c>
      <c r="AF8" s="107">
        <v>54640</v>
      </c>
      <c r="AG8" s="77">
        <f aca="true" t="shared" si="2" ref="AG8:AG80">AF8/C8*100</f>
        <v>71.89473684210526</v>
      </c>
    </row>
    <row r="9" spans="1:33" ht="27.75">
      <c r="A9" s="20" t="s">
        <v>50</v>
      </c>
      <c r="B9" s="102" t="s">
        <v>173</v>
      </c>
      <c r="C9" s="88">
        <f t="shared" si="0"/>
        <v>290000</v>
      </c>
      <c r="D9" s="103"/>
      <c r="E9" s="103"/>
      <c r="F9" s="103"/>
      <c r="G9" s="103"/>
      <c r="H9" s="103"/>
      <c r="I9" s="103"/>
      <c r="J9" s="103"/>
      <c r="K9" s="103"/>
      <c r="L9" s="103"/>
      <c r="M9" s="103"/>
      <c r="N9" s="103"/>
      <c r="O9" s="103"/>
      <c r="P9" s="103"/>
      <c r="Q9" s="103"/>
      <c r="R9" s="103"/>
      <c r="S9" s="103"/>
      <c r="T9" s="103"/>
      <c r="U9" s="103"/>
      <c r="V9" s="103"/>
      <c r="W9" s="103"/>
      <c r="X9" s="103"/>
      <c r="Y9" s="103"/>
      <c r="Z9" s="103"/>
      <c r="AA9" s="103"/>
      <c r="AB9" s="103"/>
      <c r="AC9" s="104"/>
      <c r="AD9" s="105">
        <f t="shared" si="1"/>
        <v>290000</v>
      </c>
      <c r="AE9" s="106">
        <v>290000</v>
      </c>
      <c r="AF9" s="107"/>
      <c r="AG9" s="77">
        <f t="shared" si="2"/>
        <v>0</v>
      </c>
    </row>
    <row r="10" spans="1:33" ht="27.75">
      <c r="A10" s="20" t="s">
        <v>43</v>
      </c>
      <c r="B10" s="102" t="s">
        <v>67</v>
      </c>
      <c r="C10" s="88">
        <f t="shared" si="0"/>
        <v>539000</v>
      </c>
      <c r="D10" s="103"/>
      <c r="E10" s="103"/>
      <c r="F10" s="103"/>
      <c r="G10" s="103"/>
      <c r="H10" s="103"/>
      <c r="I10" s="103"/>
      <c r="J10" s="103"/>
      <c r="K10" s="103"/>
      <c r="L10" s="103"/>
      <c r="M10" s="103"/>
      <c r="N10" s="103"/>
      <c r="O10" s="103"/>
      <c r="P10" s="103"/>
      <c r="Q10" s="103"/>
      <c r="R10" s="103"/>
      <c r="S10" s="103"/>
      <c r="T10" s="103"/>
      <c r="U10" s="103"/>
      <c r="V10" s="103"/>
      <c r="W10" s="103"/>
      <c r="X10" s="103"/>
      <c r="Y10" s="103"/>
      <c r="Z10" s="103"/>
      <c r="AA10" s="103"/>
      <c r="AB10" s="103"/>
      <c r="AC10" s="104"/>
      <c r="AD10" s="105">
        <f t="shared" si="1"/>
        <v>539000</v>
      </c>
      <c r="AE10" s="106">
        <v>539000</v>
      </c>
      <c r="AF10" s="107">
        <f>25924.8+300000+66000+4634</f>
        <v>396558.8</v>
      </c>
      <c r="AG10" s="77">
        <f t="shared" si="2"/>
        <v>73.57306122448979</v>
      </c>
    </row>
    <row r="11" spans="1:33" ht="27.75">
      <c r="A11" s="20" t="s">
        <v>44</v>
      </c>
      <c r="B11" s="102" t="s">
        <v>68</v>
      </c>
      <c r="C11" s="88">
        <f t="shared" si="0"/>
        <v>400000</v>
      </c>
      <c r="D11" s="103"/>
      <c r="E11" s="103"/>
      <c r="F11" s="103"/>
      <c r="G11" s="103"/>
      <c r="H11" s="103"/>
      <c r="I11" s="103"/>
      <c r="J11" s="103"/>
      <c r="K11" s="103"/>
      <c r="L11" s="103"/>
      <c r="M11" s="103"/>
      <c r="N11" s="103"/>
      <c r="O11" s="103"/>
      <c r="P11" s="103"/>
      <c r="Q11" s="103"/>
      <c r="R11" s="103"/>
      <c r="S11" s="103"/>
      <c r="T11" s="103"/>
      <c r="U11" s="103"/>
      <c r="V11" s="103"/>
      <c r="W11" s="103"/>
      <c r="X11" s="103"/>
      <c r="Y11" s="103"/>
      <c r="Z11" s="103"/>
      <c r="AA11" s="103"/>
      <c r="AB11" s="103"/>
      <c r="AC11" s="104"/>
      <c r="AD11" s="105">
        <f t="shared" si="1"/>
        <v>400000</v>
      </c>
      <c r="AE11" s="106">
        <v>400000</v>
      </c>
      <c r="AF11" s="107">
        <v>17944.8</v>
      </c>
      <c r="AG11" s="77">
        <f t="shared" si="2"/>
        <v>4.4862</v>
      </c>
    </row>
    <row r="12" spans="1:33" ht="27.75">
      <c r="A12" s="20" t="s">
        <v>19</v>
      </c>
      <c r="B12" s="102" t="s">
        <v>69</v>
      </c>
      <c r="C12" s="88">
        <f t="shared" si="0"/>
        <v>200000</v>
      </c>
      <c r="D12" s="103"/>
      <c r="E12" s="103"/>
      <c r="F12" s="103"/>
      <c r="G12" s="103"/>
      <c r="H12" s="103"/>
      <c r="I12" s="103"/>
      <c r="J12" s="103"/>
      <c r="K12" s="103"/>
      <c r="L12" s="103"/>
      <c r="M12" s="103"/>
      <c r="N12" s="103"/>
      <c r="O12" s="103"/>
      <c r="P12" s="103"/>
      <c r="Q12" s="103"/>
      <c r="R12" s="103"/>
      <c r="S12" s="103"/>
      <c r="T12" s="103"/>
      <c r="U12" s="103"/>
      <c r="V12" s="103"/>
      <c r="W12" s="103"/>
      <c r="X12" s="103"/>
      <c r="Y12" s="103"/>
      <c r="Z12" s="103"/>
      <c r="AA12" s="103"/>
      <c r="AB12" s="103"/>
      <c r="AC12" s="104"/>
      <c r="AD12" s="105">
        <f t="shared" si="1"/>
        <v>200000</v>
      </c>
      <c r="AE12" s="106">
        <v>200000</v>
      </c>
      <c r="AF12" s="107">
        <v>15099.8</v>
      </c>
      <c r="AG12" s="77">
        <f t="shared" si="2"/>
        <v>7.5499</v>
      </c>
    </row>
    <row r="13" spans="1:33" ht="27.75">
      <c r="A13" s="20" t="s">
        <v>20</v>
      </c>
      <c r="B13" s="102" t="s">
        <v>70</v>
      </c>
      <c r="C13" s="88">
        <f t="shared" si="0"/>
        <v>485000</v>
      </c>
      <c r="D13" s="103"/>
      <c r="E13" s="103"/>
      <c r="F13" s="103"/>
      <c r="G13" s="103"/>
      <c r="H13" s="103"/>
      <c r="I13" s="103"/>
      <c r="J13" s="103"/>
      <c r="K13" s="103"/>
      <c r="L13" s="103"/>
      <c r="M13" s="103"/>
      <c r="N13" s="103"/>
      <c r="O13" s="103"/>
      <c r="P13" s="103"/>
      <c r="Q13" s="103"/>
      <c r="R13" s="103"/>
      <c r="S13" s="103"/>
      <c r="T13" s="103"/>
      <c r="U13" s="103"/>
      <c r="V13" s="103"/>
      <c r="W13" s="103"/>
      <c r="X13" s="103"/>
      <c r="Y13" s="103"/>
      <c r="Z13" s="103"/>
      <c r="AA13" s="103"/>
      <c r="AB13" s="103"/>
      <c r="AC13" s="104"/>
      <c r="AD13" s="105">
        <f t="shared" si="1"/>
        <v>485000</v>
      </c>
      <c r="AE13" s="106">
        <v>485000</v>
      </c>
      <c r="AF13" s="107">
        <f>33000+309400</f>
        <v>342400</v>
      </c>
      <c r="AG13" s="77">
        <f t="shared" si="2"/>
        <v>70.5979381443299</v>
      </c>
    </row>
    <row r="14" spans="1:33" ht="27.75">
      <c r="A14" s="20" t="s">
        <v>45</v>
      </c>
      <c r="B14" s="102" t="s">
        <v>71</v>
      </c>
      <c r="C14" s="88">
        <f t="shared" si="0"/>
        <v>230000</v>
      </c>
      <c r="D14" s="103"/>
      <c r="E14" s="103"/>
      <c r="F14" s="103"/>
      <c r="G14" s="103"/>
      <c r="H14" s="103"/>
      <c r="I14" s="103"/>
      <c r="J14" s="103"/>
      <c r="K14" s="103"/>
      <c r="L14" s="103"/>
      <c r="M14" s="103"/>
      <c r="N14" s="103"/>
      <c r="O14" s="103"/>
      <c r="P14" s="103"/>
      <c r="Q14" s="103"/>
      <c r="R14" s="103"/>
      <c r="S14" s="103"/>
      <c r="T14" s="103"/>
      <c r="U14" s="103"/>
      <c r="V14" s="103"/>
      <c r="W14" s="103"/>
      <c r="X14" s="103"/>
      <c r="Y14" s="103"/>
      <c r="Z14" s="103"/>
      <c r="AA14" s="103"/>
      <c r="AB14" s="103"/>
      <c r="AC14" s="104"/>
      <c r="AD14" s="105">
        <f t="shared" si="1"/>
        <v>230000</v>
      </c>
      <c r="AE14" s="106">
        <v>230000</v>
      </c>
      <c r="AF14" s="107"/>
      <c r="AG14" s="77">
        <f t="shared" si="2"/>
        <v>0</v>
      </c>
    </row>
    <row r="15" spans="1:33" ht="27.75">
      <c r="A15" s="20" t="s">
        <v>0</v>
      </c>
      <c r="B15" s="102" t="s">
        <v>206</v>
      </c>
      <c r="C15" s="88">
        <f t="shared" si="0"/>
        <v>100000</v>
      </c>
      <c r="D15" s="103"/>
      <c r="E15" s="103"/>
      <c r="F15" s="103"/>
      <c r="G15" s="103"/>
      <c r="H15" s="103"/>
      <c r="I15" s="103"/>
      <c r="J15" s="103"/>
      <c r="K15" s="103"/>
      <c r="L15" s="103"/>
      <c r="M15" s="103"/>
      <c r="N15" s="103"/>
      <c r="O15" s="103"/>
      <c r="P15" s="103"/>
      <c r="Q15" s="103"/>
      <c r="R15" s="103"/>
      <c r="S15" s="103"/>
      <c r="T15" s="103"/>
      <c r="U15" s="103"/>
      <c r="V15" s="103"/>
      <c r="W15" s="103"/>
      <c r="X15" s="103"/>
      <c r="Y15" s="103"/>
      <c r="Z15" s="103"/>
      <c r="AA15" s="103"/>
      <c r="AB15" s="103"/>
      <c r="AC15" s="104"/>
      <c r="AD15" s="105">
        <f t="shared" si="1"/>
        <v>100000</v>
      </c>
      <c r="AE15" s="106">
        <v>100000</v>
      </c>
      <c r="AF15" s="107"/>
      <c r="AG15" s="77">
        <f t="shared" si="2"/>
        <v>0</v>
      </c>
    </row>
    <row r="16" spans="1:33" ht="27.75">
      <c r="A16" s="20" t="s">
        <v>26</v>
      </c>
      <c r="B16" s="102" t="s">
        <v>72</v>
      </c>
      <c r="C16" s="88">
        <f t="shared" si="0"/>
        <v>936751</v>
      </c>
      <c r="D16" s="103"/>
      <c r="E16" s="103"/>
      <c r="F16" s="103"/>
      <c r="G16" s="103"/>
      <c r="H16" s="103"/>
      <c r="I16" s="103"/>
      <c r="J16" s="103"/>
      <c r="K16" s="103"/>
      <c r="L16" s="103"/>
      <c r="M16" s="103"/>
      <c r="N16" s="103"/>
      <c r="O16" s="103"/>
      <c r="P16" s="103"/>
      <c r="Q16" s="103"/>
      <c r="R16" s="103"/>
      <c r="S16" s="103"/>
      <c r="T16" s="103"/>
      <c r="U16" s="103"/>
      <c r="V16" s="103"/>
      <c r="W16" s="103"/>
      <c r="X16" s="103"/>
      <c r="Y16" s="103"/>
      <c r="Z16" s="103"/>
      <c r="AA16" s="103"/>
      <c r="AB16" s="103"/>
      <c r="AC16" s="104"/>
      <c r="AD16" s="105">
        <f t="shared" si="1"/>
        <v>936751</v>
      </c>
      <c r="AE16" s="106">
        <v>936751</v>
      </c>
      <c r="AF16" s="107">
        <f>211800+154504.75+339234.07</f>
        <v>705538.8200000001</v>
      </c>
      <c r="AG16" s="77">
        <f t="shared" si="2"/>
        <v>75.31764791283916</v>
      </c>
    </row>
    <row r="17" spans="1:33" ht="27.75">
      <c r="A17" s="20" t="s">
        <v>51</v>
      </c>
      <c r="B17" s="102" t="s">
        <v>73</v>
      </c>
      <c r="C17" s="88">
        <f t="shared" si="0"/>
        <v>80000</v>
      </c>
      <c r="D17" s="103"/>
      <c r="E17" s="103"/>
      <c r="F17" s="103"/>
      <c r="G17" s="103"/>
      <c r="H17" s="103"/>
      <c r="I17" s="103"/>
      <c r="J17" s="103"/>
      <c r="K17" s="103"/>
      <c r="L17" s="103"/>
      <c r="M17" s="103"/>
      <c r="N17" s="103"/>
      <c r="O17" s="103"/>
      <c r="P17" s="103"/>
      <c r="Q17" s="103"/>
      <c r="R17" s="103"/>
      <c r="S17" s="103"/>
      <c r="T17" s="103"/>
      <c r="U17" s="103"/>
      <c r="V17" s="103"/>
      <c r="W17" s="103"/>
      <c r="X17" s="103"/>
      <c r="Y17" s="103"/>
      <c r="Z17" s="103"/>
      <c r="AA17" s="103"/>
      <c r="AB17" s="103"/>
      <c r="AC17" s="104"/>
      <c r="AD17" s="105">
        <f t="shared" si="1"/>
        <v>80000</v>
      </c>
      <c r="AE17" s="106">
        <v>80000</v>
      </c>
      <c r="AF17" s="108"/>
      <c r="AG17" s="77">
        <f t="shared" si="2"/>
        <v>0</v>
      </c>
    </row>
    <row r="18" spans="1:33" ht="27.75">
      <c r="A18" s="20" t="s">
        <v>22</v>
      </c>
      <c r="B18" s="102" t="s">
        <v>74</v>
      </c>
      <c r="C18" s="88">
        <f t="shared" si="0"/>
        <v>500000</v>
      </c>
      <c r="D18" s="103"/>
      <c r="E18" s="103"/>
      <c r="F18" s="103"/>
      <c r="G18" s="103"/>
      <c r="H18" s="103"/>
      <c r="I18" s="103"/>
      <c r="J18" s="103"/>
      <c r="K18" s="103"/>
      <c r="L18" s="103"/>
      <c r="M18" s="103"/>
      <c r="N18" s="103"/>
      <c r="O18" s="103"/>
      <c r="P18" s="103"/>
      <c r="Q18" s="103"/>
      <c r="R18" s="103"/>
      <c r="S18" s="103"/>
      <c r="T18" s="103"/>
      <c r="U18" s="103"/>
      <c r="V18" s="103"/>
      <c r="W18" s="103"/>
      <c r="X18" s="103"/>
      <c r="Y18" s="103"/>
      <c r="Z18" s="103"/>
      <c r="AA18" s="103"/>
      <c r="AB18" s="103"/>
      <c r="AC18" s="104"/>
      <c r="AD18" s="105">
        <f t="shared" si="1"/>
        <v>500000</v>
      </c>
      <c r="AE18" s="106">
        <v>500000</v>
      </c>
      <c r="AF18" s="108"/>
      <c r="AG18" s="77">
        <f t="shared" si="2"/>
        <v>0</v>
      </c>
    </row>
    <row r="19" spans="1:33" ht="27.75">
      <c r="A19" s="20" t="s">
        <v>85</v>
      </c>
      <c r="B19" s="102" t="s">
        <v>75</v>
      </c>
      <c r="C19" s="88">
        <f t="shared" si="0"/>
        <v>500000</v>
      </c>
      <c r="D19" s="103"/>
      <c r="E19" s="103"/>
      <c r="F19" s="103"/>
      <c r="G19" s="103"/>
      <c r="H19" s="103"/>
      <c r="I19" s="103"/>
      <c r="J19" s="103"/>
      <c r="K19" s="103"/>
      <c r="L19" s="103"/>
      <c r="M19" s="103"/>
      <c r="N19" s="103"/>
      <c r="O19" s="103"/>
      <c r="P19" s="103"/>
      <c r="Q19" s="103"/>
      <c r="R19" s="103"/>
      <c r="S19" s="103"/>
      <c r="T19" s="103"/>
      <c r="U19" s="103"/>
      <c r="V19" s="103"/>
      <c r="W19" s="103"/>
      <c r="X19" s="103"/>
      <c r="Y19" s="103"/>
      <c r="Z19" s="103"/>
      <c r="AA19" s="103"/>
      <c r="AB19" s="103"/>
      <c r="AC19" s="104"/>
      <c r="AD19" s="105">
        <f t="shared" si="1"/>
        <v>500000</v>
      </c>
      <c r="AE19" s="106">
        <v>500000</v>
      </c>
      <c r="AF19" s="107">
        <f>345755.8+120749+5654</f>
        <v>472158.8</v>
      </c>
      <c r="AG19" s="77">
        <f t="shared" si="2"/>
        <v>94.43176</v>
      </c>
    </row>
    <row r="20" spans="1:33" ht="27.75">
      <c r="A20" s="20" t="s">
        <v>86</v>
      </c>
      <c r="B20" s="102" t="s">
        <v>174</v>
      </c>
      <c r="C20" s="88">
        <f t="shared" si="0"/>
        <v>333194</v>
      </c>
      <c r="D20" s="103"/>
      <c r="E20" s="103"/>
      <c r="F20" s="103"/>
      <c r="G20" s="103"/>
      <c r="H20" s="103"/>
      <c r="I20" s="103"/>
      <c r="J20" s="103"/>
      <c r="K20" s="103"/>
      <c r="L20" s="103"/>
      <c r="M20" s="103"/>
      <c r="N20" s="103"/>
      <c r="O20" s="103"/>
      <c r="P20" s="103"/>
      <c r="Q20" s="103"/>
      <c r="R20" s="103"/>
      <c r="S20" s="103"/>
      <c r="T20" s="103"/>
      <c r="U20" s="103"/>
      <c r="V20" s="103"/>
      <c r="W20" s="103"/>
      <c r="X20" s="103"/>
      <c r="Y20" s="103"/>
      <c r="Z20" s="103"/>
      <c r="AA20" s="103"/>
      <c r="AB20" s="103"/>
      <c r="AC20" s="104"/>
      <c r="AD20" s="105">
        <f t="shared" si="1"/>
        <v>333194</v>
      </c>
      <c r="AE20" s="106">
        <v>333194</v>
      </c>
      <c r="AF20" s="107">
        <v>11397.39</v>
      </c>
      <c r="AG20" s="77">
        <f t="shared" si="2"/>
        <v>3.4206468303750968</v>
      </c>
    </row>
    <row r="21" spans="1:33" ht="27.75">
      <c r="A21" s="20" t="s">
        <v>87</v>
      </c>
      <c r="B21" s="102" t="s">
        <v>223</v>
      </c>
      <c r="C21" s="88">
        <f t="shared" si="0"/>
        <v>176110</v>
      </c>
      <c r="D21" s="103"/>
      <c r="E21" s="103"/>
      <c r="F21" s="103"/>
      <c r="G21" s="103"/>
      <c r="H21" s="103"/>
      <c r="I21" s="103"/>
      <c r="J21" s="103"/>
      <c r="K21" s="103"/>
      <c r="L21" s="103"/>
      <c r="M21" s="103"/>
      <c r="N21" s="103"/>
      <c r="O21" s="103"/>
      <c r="P21" s="103"/>
      <c r="Q21" s="103"/>
      <c r="R21" s="103"/>
      <c r="S21" s="103"/>
      <c r="T21" s="103"/>
      <c r="U21" s="103"/>
      <c r="V21" s="103"/>
      <c r="W21" s="103"/>
      <c r="X21" s="103"/>
      <c r="Y21" s="103"/>
      <c r="Z21" s="103"/>
      <c r="AA21" s="103"/>
      <c r="AB21" s="103"/>
      <c r="AC21" s="104"/>
      <c r="AD21" s="105">
        <f t="shared" si="1"/>
        <v>176110</v>
      </c>
      <c r="AE21" s="106">
        <v>176110</v>
      </c>
      <c r="AF21" s="107">
        <f>11260+135000</f>
        <v>146260</v>
      </c>
      <c r="AG21" s="77">
        <f t="shared" si="2"/>
        <v>83.0503662483675</v>
      </c>
    </row>
    <row r="22" spans="1:33" ht="27.75">
      <c r="A22" s="20" t="s">
        <v>88</v>
      </c>
      <c r="B22" s="102" t="s">
        <v>175</v>
      </c>
      <c r="C22" s="88">
        <f t="shared" si="0"/>
        <v>100000</v>
      </c>
      <c r="D22" s="103"/>
      <c r="E22" s="103"/>
      <c r="F22" s="103"/>
      <c r="G22" s="103"/>
      <c r="H22" s="103"/>
      <c r="I22" s="103"/>
      <c r="J22" s="103"/>
      <c r="K22" s="103"/>
      <c r="L22" s="103"/>
      <c r="M22" s="103"/>
      <c r="N22" s="103"/>
      <c r="O22" s="103"/>
      <c r="P22" s="103"/>
      <c r="Q22" s="103"/>
      <c r="R22" s="103"/>
      <c r="S22" s="103"/>
      <c r="T22" s="103"/>
      <c r="U22" s="103"/>
      <c r="V22" s="103"/>
      <c r="W22" s="103"/>
      <c r="X22" s="103"/>
      <c r="Y22" s="103"/>
      <c r="Z22" s="103"/>
      <c r="AA22" s="103"/>
      <c r="AB22" s="103"/>
      <c r="AC22" s="104"/>
      <c r="AD22" s="105">
        <f t="shared" si="1"/>
        <v>100000</v>
      </c>
      <c r="AE22" s="106">
        <v>100000</v>
      </c>
      <c r="AF22" s="107">
        <f>3547+51441</f>
        <v>54988</v>
      </c>
      <c r="AG22" s="77">
        <f t="shared" si="2"/>
        <v>54.98800000000001</v>
      </c>
    </row>
    <row r="23" spans="1:33" ht="27.75">
      <c r="A23" s="20" t="s">
        <v>89</v>
      </c>
      <c r="B23" s="102" t="s">
        <v>176</v>
      </c>
      <c r="C23" s="88">
        <f t="shared" si="0"/>
        <v>100000</v>
      </c>
      <c r="D23" s="103"/>
      <c r="E23" s="103"/>
      <c r="F23" s="103"/>
      <c r="G23" s="103"/>
      <c r="H23" s="103"/>
      <c r="I23" s="103"/>
      <c r="J23" s="103"/>
      <c r="K23" s="103"/>
      <c r="L23" s="103"/>
      <c r="M23" s="103"/>
      <c r="N23" s="103"/>
      <c r="O23" s="103"/>
      <c r="P23" s="103"/>
      <c r="Q23" s="103"/>
      <c r="R23" s="103"/>
      <c r="S23" s="103"/>
      <c r="T23" s="103"/>
      <c r="U23" s="103"/>
      <c r="V23" s="103"/>
      <c r="W23" s="103"/>
      <c r="X23" s="103"/>
      <c r="Y23" s="103"/>
      <c r="Z23" s="103"/>
      <c r="AA23" s="103"/>
      <c r="AB23" s="103"/>
      <c r="AC23" s="104"/>
      <c r="AD23" s="105">
        <f t="shared" si="1"/>
        <v>100000</v>
      </c>
      <c r="AE23" s="106">
        <v>100000</v>
      </c>
      <c r="AF23" s="107">
        <f>3547+51441</f>
        <v>54988</v>
      </c>
      <c r="AG23" s="77">
        <f t="shared" si="2"/>
        <v>54.98800000000001</v>
      </c>
    </row>
    <row r="24" spans="1:33" ht="27.75">
      <c r="A24" s="20" t="s">
        <v>90</v>
      </c>
      <c r="B24" s="102" t="s">
        <v>177</v>
      </c>
      <c r="C24" s="88">
        <f t="shared" si="0"/>
        <v>250000</v>
      </c>
      <c r="D24" s="103"/>
      <c r="E24" s="103"/>
      <c r="F24" s="103"/>
      <c r="G24" s="103"/>
      <c r="H24" s="103"/>
      <c r="I24" s="103"/>
      <c r="J24" s="103"/>
      <c r="K24" s="103"/>
      <c r="L24" s="103"/>
      <c r="M24" s="103"/>
      <c r="N24" s="103"/>
      <c r="O24" s="103"/>
      <c r="P24" s="103"/>
      <c r="Q24" s="103"/>
      <c r="R24" s="103"/>
      <c r="S24" s="103"/>
      <c r="T24" s="103"/>
      <c r="U24" s="103"/>
      <c r="V24" s="103"/>
      <c r="W24" s="103"/>
      <c r="X24" s="103"/>
      <c r="Y24" s="103"/>
      <c r="Z24" s="103"/>
      <c r="AA24" s="103"/>
      <c r="AB24" s="103"/>
      <c r="AC24" s="104"/>
      <c r="AD24" s="105">
        <f t="shared" si="1"/>
        <v>250000</v>
      </c>
      <c r="AE24" s="106">
        <v>250000</v>
      </c>
      <c r="AF24" s="107">
        <f>3424.8+150000+818</f>
        <v>154242.8</v>
      </c>
      <c r="AG24" s="77">
        <f t="shared" si="2"/>
        <v>61.69711999999999</v>
      </c>
    </row>
    <row r="25" spans="1:33" ht="27.75">
      <c r="A25" s="20" t="s">
        <v>91</v>
      </c>
      <c r="B25" s="102" t="s">
        <v>178</v>
      </c>
      <c r="C25" s="88">
        <f t="shared" si="0"/>
        <v>234108</v>
      </c>
      <c r="D25" s="103"/>
      <c r="E25" s="103"/>
      <c r="F25" s="103"/>
      <c r="G25" s="103"/>
      <c r="H25" s="103"/>
      <c r="I25" s="103"/>
      <c r="J25" s="103"/>
      <c r="K25" s="103"/>
      <c r="L25" s="103"/>
      <c r="M25" s="103"/>
      <c r="N25" s="103"/>
      <c r="O25" s="103"/>
      <c r="P25" s="103"/>
      <c r="Q25" s="103"/>
      <c r="R25" s="103"/>
      <c r="S25" s="103"/>
      <c r="T25" s="103"/>
      <c r="U25" s="103"/>
      <c r="V25" s="103"/>
      <c r="W25" s="103"/>
      <c r="X25" s="103"/>
      <c r="Y25" s="103"/>
      <c r="Z25" s="103"/>
      <c r="AA25" s="103"/>
      <c r="AB25" s="103"/>
      <c r="AC25" s="104"/>
      <c r="AD25" s="105">
        <f t="shared" si="1"/>
        <v>234108</v>
      </c>
      <c r="AE25" s="106">
        <v>234108</v>
      </c>
      <c r="AF25" s="107">
        <f>3424.8+155000+66544</f>
        <v>224968.8</v>
      </c>
      <c r="AG25" s="77">
        <f t="shared" si="2"/>
        <v>96.0961607463222</v>
      </c>
    </row>
    <row r="26" spans="1:33" ht="27.75">
      <c r="A26" s="20" t="s">
        <v>92</v>
      </c>
      <c r="B26" s="102" t="s">
        <v>205</v>
      </c>
      <c r="C26" s="88">
        <f t="shared" si="0"/>
        <v>150000</v>
      </c>
      <c r="D26" s="103"/>
      <c r="E26" s="103"/>
      <c r="F26" s="103"/>
      <c r="G26" s="103"/>
      <c r="H26" s="103"/>
      <c r="I26" s="103"/>
      <c r="J26" s="103"/>
      <c r="K26" s="103"/>
      <c r="L26" s="103"/>
      <c r="M26" s="103"/>
      <c r="N26" s="103"/>
      <c r="O26" s="103"/>
      <c r="P26" s="103"/>
      <c r="Q26" s="103"/>
      <c r="R26" s="103"/>
      <c r="S26" s="103"/>
      <c r="T26" s="103"/>
      <c r="U26" s="103"/>
      <c r="V26" s="103"/>
      <c r="W26" s="103"/>
      <c r="X26" s="103"/>
      <c r="Y26" s="103"/>
      <c r="Z26" s="103"/>
      <c r="AA26" s="103"/>
      <c r="AB26" s="103"/>
      <c r="AC26" s="104"/>
      <c r="AD26" s="105">
        <f t="shared" si="1"/>
        <v>150000</v>
      </c>
      <c r="AE26" s="106">
        <v>150000</v>
      </c>
      <c r="AF26" s="107">
        <f>3424.8+100000+357</f>
        <v>103781.8</v>
      </c>
      <c r="AG26" s="77">
        <f t="shared" si="2"/>
        <v>69.18786666666666</v>
      </c>
    </row>
    <row r="27" spans="1:33" ht="27.75">
      <c r="A27" s="20" t="s">
        <v>93</v>
      </c>
      <c r="B27" s="102" t="s">
        <v>166</v>
      </c>
      <c r="C27" s="88">
        <f t="shared" si="0"/>
        <v>1300000</v>
      </c>
      <c r="D27" s="103"/>
      <c r="E27" s="103"/>
      <c r="F27" s="103"/>
      <c r="G27" s="103"/>
      <c r="H27" s="103"/>
      <c r="I27" s="103"/>
      <c r="J27" s="103"/>
      <c r="K27" s="103"/>
      <c r="L27" s="103"/>
      <c r="M27" s="103"/>
      <c r="N27" s="103"/>
      <c r="O27" s="103"/>
      <c r="P27" s="103"/>
      <c r="Q27" s="103"/>
      <c r="R27" s="103"/>
      <c r="S27" s="103"/>
      <c r="T27" s="103"/>
      <c r="U27" s="103"/>
      <c r="V27" s="103"/>
      <c r="W27" s="103"/>
      <c r="X27" s="103"/>
      <c r="Y27" s="103"/>
      <c r="Z27" s="103"/>
      <c r="AA27" s="103"/>
      <c r="AB27" s="103"/>
      <c r="AC27" s="104"/>
      <c r="AD27" s="105">
        <f t="shared" si="1"/>
        <v>1300000</v>
      </c>
      <c r="AE27" s="106">
        <v>1300000</v>
      </c>
      <c r="AF27" s="107">
        <f>48851+614686+4003.69+352842.33+13646.62</f>
        <v>1034029.64</v>
      </c>
      <c r="AG27" s="77">
        <f t="shared" si="2"/>
        <v>79.54074153846153</v>
      </c>
    </row>
    <row r="28" spans="1:33" ht="27.75">
      <c r="A28" s="20" t="s">
        <v>94</v>
      </c>
      <c r="B28" s="102" t="s">
        <v>168</v>
      </c>
      <c r="C28" s="88">
        <f t="shared" si="0"/>
        <v>1050283.59</v>
      </c>
      <c r="D28" s="103"/>
      <c r="E28" s="103"/>
      <c r="F28" s="103"/>
      <c r="G28" s="103"/>
      <c r="H28" s="103"/>
      <c r="I28" s="103"/>
      <c r="J28" s="103"/>
      <c r="K28" s="103"/>
      <c r="L28" s="103"/>
      <c r="M28" s="103"/>
      <c r="N28" s="103"/>
      <c r="O28" s="103"/>
      <c r="P28" s="103"/>
      <c r="Q28" s="103"/>
      <c r="R28" s="103"/>
      <c r="S28" s="103"/>
      <c r="T28" s="103"/>
      <c r="U28" s="103"/>
      <c r="V28" s="103"/>
      <c r="W28" s="103"/>
      <c r="X28" s="103"/>
      <c r="Y28" s="103"/>
      <c r="Z28" s="103"/>
      <c r="AA28" s="103"/>
      <c r="AB28" s="103"/>
      <c r="AC28" s="104"/>
      <c r="AD28" s="105">
        <f t="shared" si="1"/>
        <v>1050283.59</v>
      </c>
      <c r="AE28" s="106">
        <v>1050283.59</v>
      </c>
      <c r="AF28" s="107">
        <f>48851+493855+6362</f>
        <v>549068</v>
      </c>
      <c r="AG28" s="77">
        <f t="shared" si="2"/>
        <v>52.27807091606562</v>
      </c>
    </row>
    <row r="29" spans="1:33" ht="27.75">
      <c r="A29" s="20" t="s">
        <v>95</v>
      </c>
      <c r="B29" s="102" t="s">
        <v>76</v>
      </c>
      <c r="C29" s="88">
        <f t="shared" si="0"/>
        <v>100000</v>
      </c>
      <c r="D29" s="103"/>
      <c r="E29" s="103"/>
      <c r="F29" s="103"/>
      <c r="G29" s="103"/>
      <c r="H29" s="103"/>
      <c r="I29" s="103"/>
      <c r="J29" s="103"/>
      <c r="K29" s="103"/>
      <c r="L29" s="103"/>
      <c r="M29" s="103"/>
      <c r="N29" s="103"/>
      <c r="O29" s="103"/>
      <c r="P29" s="103"/>
      <c r="Q29" s="103"/>
      <c r="R29" s="103"/>
      <c r="S29" s="103"/>
      <c r="T29" s="103"/>
      <c r="U29" s="103"/>
      <c r="V29" s="103"/>
      <c r="W29" s="103"/>
      <c r="X29" s="103"/>
      <c r="Y29" s="103"/>
      <c r="Z29" s="103"/>
      <c r="AA29" s="103"/>
      <c r="AB29" s="103"/>
      <c r="AC29" s="104"/>
      <c r="AD29" s="105">
        <f t="shared" si="1"/>
        <v>100000</v>
      </c>
      <c r="AE29" s="106">
        <v>100000</v>
      </c>
      <c r="AF29" s="107">
        <f>19600+60000</f>
        <v>79600</v>
      </c>
      <c r="AG29" s="77">
        <f t="shared" si="2"/>
        <v>79.60000000000001</v>
      </c>
    </row>
    <row r="30" spans="1:33" ht="27.75">
      <c r="A30" s="20" t="s">
        <v>96</v>
      </c>
      <c r="B30" s="102" t="s">
        <v>131</v>
      </c>
      <c r="C30" s="88">
        <f t="shared" si="0"/>
        <v>100000</v>
      </c>
      <c r="D30" s="103"/>
      <c r="E30" s="103"/>
      <c r="F30" s="103"/>
      <c r="G30" s="103"/>
      <c r="H30" s="103"/>
      <c r="I30" s="103"/>
      <c r="J30" s="103"/>
      <c r="K30" s="103"/>
      <c r="L30" s="103"/>
      <c r="M30" s="103"/>
      <c r="N30" s="103"/>
      <c r="O30" s="103"/>
      <c r="P30" s="103"/>
      <c r="Q30" s="103"/>
      <c r="R30" s="103"/>
      <c r="S30" s="103"/>
      <c r="T30" s="103"/>
      <c r="U30" s="103"/>
      <c r="V30" s="103"/>
      <c r="W30" s="103"/>
      <c r="X30" s="103"/>
      <c r="Y30" s="103"/>
      <c r="Z30" s="103"/>
      <c r="AA30" s="103"/>
      <c r="AB30" s="103"/>
      <c r="AC30" s="104"/>
      <c r="AD30" s="105">
        <f t="shared" si="1"/>
        <v>100000</v>
      </c>
      <c r="AE30" s="106">
        <v>100000</v>
      </c>
      <c r="AF30" s="107">
        <f>17299.8+60000</f>
        <v>77299.8</v>
      </c>
      <c r="AG30" s="77">
        <f t="shared" si="2"/>
        <v>77.2998</v>
      </c>
    </row>
    <row r="31" spans="1:33" ht="27.75">
      <c r="A31" s="20" t="s">
        <v>97</v>
      </c>
      <c r="B31" s="102" t="s">
        <v>179</v>
      </c>
      <c r="C31" s="88">
        <f t="shared" si="0"/>
        <v>70000</v>
      </c>
      <c r="D31" s="103"/>
      <c r="E31" s="103"/>
      <c r="F31" s="103"/>
      <c r="G31" s="103"/>
      <c r="H31" s="103"/>
      <c r="I31" s="103"/>
      <c r="J31" s="103"/>
      <c r="K31" s="103"/>
      <c r="L31" s="103"/>
      <c r="M31" s="103"/>
      <c r="N31" s="103"/>
      <c r="O31" s="103"/>
      <c r="P31" s="103"/>
      <c r="Q31" s="103"/>
      <c r="R31" s="103"/>
      <c r="S31" s="103"/>
      <c r="T31" s="103"/>
      <c r="U31" s="103"/>
      <c r="V31" s="103"/>
      <c r="W31" s="103"/>
      <c r="X31" s="103"/>
      <c r="Y31" s="103"/>
      <c r="Z31" s="103"/>
      <c r="AA31" s="103"/>
      <c r="AB31" s="103"/>
      <c r="AC31" s="104"/>
      <c r="AD31" s="105">
        <f t="shared" si="1"/>
        <v>70000</v>
      </c>
      <c r="AE31" s="106">
        <v>70000</v>
      </c>
      <c r="AF31" s="108"/>
      <c r="AG31" s="77">
        <f t="shared" si="2"/>
        <v>0</v>
      </c>
    </row>
    <row r="32" spans="1:33" ht="27.75">
      <c r="A32" s="20" t="s">
        <v>98</v>
      </c>
      <c r="B32" s="102" t="s">
        <v>77</v>
      </c>
      <c r="C32" s="88">
        <f t="shared" si="0"/>
        <v>70000</v>
      </c>
      <c r="D32" s="103"/>
      <c r="E32" s="103"/>
      <c r="F32" s="103"/>
      <c r="G32" s="103"/>
      <c r="H32" s="103"/>
      <c r="I32" s="103"/>
      <c r="J32" s="103"/>
      <c r="K32" s="103"/>
      <c r="L32" s="103"/>
      <c r="M32" s="103"/>
      <c r="N32" s="103"/>
      <c r="O32" s="103"/>
      <c r="P32" s="103"/>
      <c r="Q32" s="103"/>
      <c r="R32" s="103"/>
      <c r="S32" s="103"/>
      <c r="T32" s="103"/>
      <c r="U32" s="103"/>
      <c r="V32" s="103"/>
      <c r="W32" s="103"/>
      <c r="X32" s="103"/>
      <c r="Y32" s="103"/>
      <c r="Z32" s="103"/>
      <c r="AA32" s="103"/>
      <c r="AB32" s="103"/>
      <c r="AC32" s="104"/>
      <c r="AD32" s="105">
        <f t="shared" si="1"/>
        <v>70000</v>
      </c>
      <c r="AE32" s="106">
        <v>70000</v>
      </c>
      <c r="AF32" s="108"/>
      <c r="AG32" s="77">
        <f t="shared" si="2"/>
        <v>0</v>
      </c>
    </row>
    <row r="33" spans="1:33" ht="27.75">
      <c r="A33" s="20" t="s">
        <v>99</v>
      </c>
      <c r="B33" s="102" t="s">
        <v>78</v>
      </c>
      <c r="C33" s="88">
        <f t="shared" si="0"/>
        <v>550000</v>
      </c>
      <c r="D33" s="103"/>
      <c r="E33" s="103"/>
      <c r="F33" s="103"/>
      <c r="G33" s="103"/>
      <c r="H33" s="103"/>
      <c r="I33" s="103"/>
      <c r="J33" s="103"/>
      <c r="K33" s="103"/>
      <c r="L33" s="103"/>
      <c r="M33" s="103"/>
      <c r="N33" s="103"/>
      <c r="O33" s="103"/>
      <c r="P33" s="103"/>
      <c r="Q33" s="103"/>
      <c r="R33" s="103"/>
      <c r="S33" s="103"/>
      <c r="T33" s="103"/>
      <c r="U33" s="103"/>
      <c r="V33" s="103"/>
      <c r="W33" s="103"/>
      <c r="X33" s="103"/>
      <c r="Y33" s="103"/>
      <c r="Z33" s="103"/>
      <c r="AA33" s="103"/>
      <c r="AB33" s="103"/>
      <c r="AC33" s="104"/>
      <c r="AD33" s="105">
        <f t="shared" si="1"/>
        <v>550000</v>
      </c>
      <c r="AE33" s="106">
        <v>550000</v>
      </c>
      <c r="AF33" s="108"/>
      <c r="AG33" s="77">
        <f t="shared" si="2"/>
        <v>0</v>
      </c>
    </row>
    <row r="34" spans="1:33" ht="27.75">
      <c r="A34" s="20" t="s">
        <v>100</v>
      </c>
      <c r="B34" s="102" t="s">
        <v>79</v>
      </c>
      <c r="C34" s="88">
        <f t="shared" si="0"/>
        <v>721000</v>
      </c>
      <c r="D34" s="103"/>
      <c r="E34" s="103"/>
      <c r="F34" s="103"/>
      <c r="G34" s="103"/>
      <c r="H34" s="103"/>
      <c r="I34" s="103"/>
      <c r="J34" s="103"/>
      <c r="K34" s="103"/>
      <c r="L34" s="103"/>
      <c r="M34" s="103"/>
      <c r="N34" s="103"/>
      <c r="O34" s="103"/>
      <c r="P34" s="103"/>
      <c r="Q34" s="103"/>
      <c r="R34" s="103"/>
      <c r="S34" s="103"/>
      <c r="T34" s="103"/>
      <c r="U34" s="103"/>
      <c r="V34" s="103"/>
      <c r="W34" s="103"/>
      <c r="X34" s="103"/>
      <c r="Y34" s="103"/>
      <c r="Z34" s="103"/>
      <c r="AA34" s="103"/>
      <c r="AB34" s="103"/>
      <c r="AC34" s="104"/>
      <c r="AD34" s="105">
        <f t="shared" si="1"/>
        <v>721000</v>
      </c>
      <c r="AE34" s="106">
        <v>721000</v>
      </c>
      <c r="AF34" s="107">
        <f>12310+214500+159312.95+170377.41</f>
        <v>556500.36</v>
      </c>
      <c r="AG34" s="77">
        <f t="shared" si="2"/>
        <v>77.18451595006934</v>
      </c>
    </row>
    <row r="35" spans="1:33" ht="27.75">
      <c r="A35" s="20" t="s">
        <v>101</v>
      </c>
      <c r="B35" s="102" t="s">
        <v>180</v>
      </c>
      <c r="C35" s="88">
        <f t="shared" si="0"/>
        <v>100000</v>
      </c>
      <c r="D35" s="103"/>
      <c r="E35" s="103"/>
      <c r="F35" s="103"/>
      <c r="G35" s="103"/>
      <c r="H35" s="103"/>
      <c r="I35" s="103"/>
      <c r="J35" s="103"/>
      <c r="K35" s="103"/>
      <c r="L35" s="103"/>
      <c r="M35" s="103"/>
      <c r="N35" s="103"/>
      <c r="O35" s="103"/>
      <c r="P35" s="103"/>
      <c r="Q35" s="103"/>
      <c r="R35" s="103"/>
      <c r="S35" s="103"/>
      <c r="T35" s="103"/>
      <c r="U35" s="103"/>
      <c r="V35" s="103"/>
      <c r="W35" s="103"/>
      <c r="X35" s="103"/>
      <c r="Y35" s="103"/>
      <c r="Z35" s="103"/>
      <c r="AA35" s="103"/>
      <c r="AB35" s="103"/>
      <c r="AC35" s="104"/>
      <c r="AD35" s="105">
        <f t="shared" si="1"/>
        <v>100000</v>
      </c>
      <c r="AE35" s="106">
        <v>100000</v>
      </c>
      <c r="AF35" s="107">
        <f>3548+51441</f>
        <v>54989</v>
      </c>
      <c r="AG35" s="77">
        <f t="shared" si="2"/>
        <v>54.989</v>
      </c>
    </row>
    <row r="36" spans="1:33" ht="27.75">
      <c r="A36" s="20" t="s">
        <v>102</v>
      </c>
      <c r="B36" s="102" t="s">
        <v>207</v>
      </c>
      <c r="C36" s="88">
        <f t="shared" si="0"/>
        <v>100000</v>
      </c>
      <c r="D36" s="103"/>
      <c r="E36" s="103"/>
      <c r="F36" s="103"/>
      <c r="G36" s="103"/>
      <c r="H36" s="103"/>
      <c r="I36" s="103"/>
      <c r="J36" s="103"/>
      <c r="K36" s="103"/>
      <c r="L36" s="103"/>
      <c r="M36" s="103"/>
      <c r="N36" s="103"/>
      <c r="O36" s="103"/>
      <c r="P36" s="103"/>
      <c r="Q36" s="103"/>
      <c r="R36" s="103"/>
      <c r="S36" s="103"/>
      <c r="T36" s="103"/>
      <c r="U36" s="103"/>
      <c r="V36" s="103"/>
      <c r="W36" s="103"/>
      <c r="X36" s="103"/>
      <c r="Y36" s="103"/>
      <c r="Z36" s="103"/>
      <c r="AA36" s="103"/>
      <c r="AB36" s="103"/>
      <c r="AC36" s="104"/>
      <c r="AD36" s="105">
        <f t="shared" si="1"/>
        <v>100000</v>
      </c>
      <c r="AE36" s="106">
        <v>100000</v>
      </c>
      <c r="AF36" s="107"/>
      <c r="AG36" s="77">
        <f t="shared" si="2"/>
        <v>0</v>
      </c>
    </row>
    <row r="37" spans="1:33" ht="27.75">
      <c r="A37" s="20" t="s">
        <v>103</v>
      </c>
      <c r="B37" s="109" t="s">
        <v>181</v>
      </c>
      <c r="C37" s="88">
        <f t="shared" si="0"/>
        <v>250000</v>
      </c>
      <c r="D37" s="103"/>
      <c r="E37" s="103"/>
      <c r="F37" s="103"/>
      <c r="G37" s="103"/>
      <c r="H37" s="103"/>
      <c r="I37" s="103"/>
      <c r="J37" s="103"/>
      <c r="K37" s="103"/>
      <c r="L37" s="103"/>
      <c r="M37" s="103"/>
      <c r="N37" s="103"/>
      <c r="O37" s="103"/>
      <c r="P37" s="103"/>
      <c r="Q37" s="103"/>
      <c r="R37" s="103"/>
      <c r="S37" s="103"/>
      <c r="T37" s="103"/>
      <c r="U37" s="103"/>
      <c r="V37" s="103"/>
      <c r="W37" s="103"/>
      <c r="X37" s="103"/>
      <c r="Y37" s="103"/>
      <c r="Z37" s="103"/>
      <c r="AA37" s="103"/>
      <c r="AB37" s="103"/>
      <c r="AC37" s="104"/>
      <c r="AD37" s="105">
        <f t="shared" si="1"/>
        <v>250000</v>
      </c>
      <c r="AE37" s="106">
        <v>250000</v>
      </c>
      <c r="AF37" s="107">
        <f>11213+130452</f>
        <v>141665</v>
      </c>
      <c r="AG37" s="77">
        <f t="shared" si="2"/>
        <v>56.666000000000004</v>
      </c>
    </row>
    <row r="38" spans="1:33" ht="27.75">
      <c r="A38" s="20" t="s">
        <v>104</v>
      </c>
      <c r="B38" s="110" t="s">
        <v>182</v>
      </c>
      <c r="C38" s="88">
        <f t="shared" si="0"/>
        <v>185837</v>
      </c>
      <c r="D38" s="103"/>
      <c r="E38" s="103"/>
      <c r="F38" s="103"/>
      <c r="G38" s="103"/>
      <c r="H38" s="103"/>
      <c r="I38" s="103"/>
      <c r="J38" s="103"/>
      <c r="K38" s="103"/>
      <c r="L38" s="103"/>
      <c r="M38" s="103"/>
      <c r="N38" s="103"/>
      <c r="O38" s="103"/>
      <c r="P38" s="103"/>
      <c r="Q38" s="103"/>
      <c r="R38" s="103"/>
      <c r="S38" s="103"/>
      <c r="T38" s="103"/>
      <c r="U38" s="103"/>
      <c r="V38" s="103"/>
      <c r="W38" s="103"/>
      <c r="X38" s="103"/>
      <c r="Y38" s="103"/>
      <c r="Z38" s="103"/>
      <c r="AA38" s="103"/>
      <c r="AB38" s="103"/>
      <c r="AC38" s="104"/>
      <c r="AD38" s="105">
        <f t="shared" si="1"/>
        <v>185837</v>
      </c>
      <c r="AE38" s="106">
        <v>185837</v>
      </c>
      <c r="AF38" s="107">
        <f>11213+126507</f>
        <v>137720</v>
      </c>
      <c r="AG38" s="77">
        <f t="shared" si="2"/>
        <v>74.10795482062237</v>
      </c>
    </row>
    <row r="39" spans="1:33" ht="27.75">
      <c r="A39" s="20" t="s">
        <v>105</v>
      </c>
      <c r="B39" s="111" t="s">
        <v>183</v>
      </c>
      <c r="C39" s="88">
        <f t="shared" si="0"/>
        <v>166666</v>
      </c>
      <c r="D39" s="103"/>
      <c r="E39" s="103"/>
      <c r="F39" s="103"/>
      <c r="G39" s="103"/>
      <c r="H39" s="103"/>
      <c r="I39" s="103"/>
      <c r="J39" s="103"/>
      <c r="K39" s="103"/>
      <c r="L39" s="103"/>
      <c r="M39" s="103"/>
      <c r="N39" s="103"/>
      <c r="O39" s="103"/>
      <c r="P39" s="103"/>
      <c r="Q39" s="103"/>
      <c r="R39" s="103"/>
      <c r="S39" s="103"/>
      <c r="T39" s="103"/>
      <c r="U39" s="103"/>
      <c r="V39" s="103"/>
      <c r="W39" s="103"/>
      <c r="X39" s="103"/>
      <c r="Y39" s="103"/>
      <c r="Z39" s="103"/>
      <c r="AA39" s="103"/>
      <c r="AB39" s="103"/>
      <c r="AC39" s="104"/>
      <c r="AD39" s="105">
        <f t="shared" si="1"/>
        <v>166666</v>
      </c>
      <c r="AE39" s="106">
        <f>150000+16666</f>
        <v>166666</v>
      </c>
      <c r="AF39" s="107">
        <f>10949+126507</f>
        <v>137456</v>
      </c>
      <c r="AG39" s="77">
        <f t="shared" si="2"/>
        <v>82.47392989571958</v>
      </c>
    </row>
    <row r="40" spans="1:33" ht="27.75">
      <c r="A40" s="20" t="s">
        <v>106</v>
      </c>
      <c r="B40" s="111" t="s">
        <v>184</v>
      </c>
      <c r="C40" s="88">
        <f t="shared" si="0"/>
        <v>100000</v>
      </c>
      <c r="D40" s="103"/>
      <c r="E40" s="103"/>
      <c r="F40" s="103"/>
      <c r="G40" s="103"/>
      <c r="H40" s="103"/>
      <c r="I40" s="103"/>
      <c r="J40" s="103"/>
      <c r="K40" s="103"/>
      <c r="L40" s="103"/>
      <c r="M40" s="103"/>
      <c r="N40" s="103"/>
      <c r="O40" s="103"/>
      <c r="P40" s="103"/>
      <c r="Q40" s="103"/>
      <c r="R40" s="103"/>
      <c r="S40" s="103"/>
      <c r="T40" s="103"/>
      <c r="U40" s="103"/>
      <c r="V40" s="103"/>
      <c r="W40" s="103"/>
      <c r="X40" s="103"/>
      <c r="Y40" s="103"/>
      <c r="Z40" s="103"/>
      <c r="AA40" s="103"/>
      <c r="AB40" s="103"/>
      <c r="AC40" s="104"/>
      <c r="AD40" s="105">
        <f t="shared" si="1"/>
        <v>100000</v>
      </c>
      <c r="AE40" s="106">
        <v>100000</v>
      </c>
      <c r="AF40" s="107">
        <f>3548+51441</f>
        <v>54989</v>
      </c>
      <c r="AG40" s="77">
        <f t="shared" si="2"/>
        <v>54.989</v>
      </c>
    </row>
    <row r="41" spans="1:33" ht="27.75">
      <c r="A41" s="20" t="s">
        <v>145</v>
      </c>
      <c r="B41" s="111" t="s">
        <v>185</v>
      </c>
      <c r="C41" s="88">
        <f t="shared" si="0"/>
        <v>141647</v>
      </c>
      <c r="D41" s="103"/>
      <c r="E41" s="103"/>
      <c r="F41" s="103"/>
      <c r="G41" s="103"/>
      <c r="H41" s="103"/>
      <c r="I41" s="103"/>
      <c r="J41" s="103"/>
      <c r="K41" s="103"/>
      <c r="L41" s="103"/>
      <c r="M41" s="103"/>
      <c r="N41" s="103"/>
      <c r="O41" s="103"/>
      <c r="P41" s="103"/>
      <c r="Q41" s="103"/>
      <c r="R41" s="103"/>
      <c r="S41" s="103"/>
      <c r="T41" s="103"/>
      <c r="U41" s="103"/>
      <c r="V41" s="103"/>
      <c r="W41" s="103"/>
      <c r="X41" s="103"/>
      <c r="Y41" s="103"/>
      <c r="Z41" s="103"/>
      <c r="AA41" s="103"/>
      <c r="AB41" s="103"/>
      <c r="AC41" s="104"/>
      <c r="AD41" s="105">
        <f t="shared" si="1"/>
        <v>141647</v>
      </c>
      <c r="AE41" s="106">
        <v>141647</v>
      </c>
      <c r="AF41" s="107">
        <f>3424.8+89500+38424.8</f>
        <v>131349.6</v>
      </c>
      <c r="AG41" s="77">
        <f t="shared" si="2"/>
        <v>92.73023784478316</v>
      </c>
    </row>
    <row r="42" spans="1:33" ht="27.75">
      <c r="A42" s="20" t="s">
        <v>146</v>
      </c>
      <c r="B42" s="111" t="s">
        <v>186</v>
      </c>
      <c r="C42" s="88">
        <f t="shared" si="0"/>
        <v>305263</v>
      </c>
      <c r="D42" s="103"/>
      <c r="E42" s="103"/>
      <c r="F42" s="103"/>
      <c r="G42" s="103"/>
      <c r="H42" s="103"/>
      <c r="I42" s="103"/>
      <c r="J42" s="103"/>
      <c r="K42" s="103"/>
      <c r="L42" s="103"/>
      <c r="M42" s="103"/>
      <c r="N42" s="103"/>
      <c r="O42" s="103"/>
      <c r="P42" s="103"/>
      <c r="Q42" s="103"/>
      <c r="R42" s="103"/>
      <c r="S42" s="103"/>
      <c r="T42" s="103"/>
      <c r="U42" s="103"/>
      <c r="V42" s="103"/>
      <c r="W42" s="103"/>
      <c r="X42" s="103"/>
      <c r="Y42" s="103"/>
      <c r="Z42" s="103"/>
      <c r="AA42" s="103"/>
      <c r="AB42" s="103"/>
      <c r="AC42" s="104"/>
      <c r="AD42" s="105">
        <f t="shared" si="1"/>
        <v>305263</v>
      </c>
      <c r="AE42" s="106">
        <v>305263</v>
      </c>
      <c r="AF42" s="107">
        <f>3424.8+168000+71996.4</f>
        <v>243421.19999999998</v>
      </c>
      <c r="AG42" s="77">
        <f t="shared" si="2"/>
        <v>79.74146883179422</v>
      </c>
    </row>
    <row r="43" spans="1:33" ht="27.75">
      <c r="A43" s="20" t="s">
        <v>147</v>
      </c>
      <c r="B43" s="111" t="s">
        <v>80</v>
      </c>
      <c r="C43" s="88">
        <f t="shared" si="0"/>
        <v>89529.4</v>
      </c>
      <c r="D43" s="103"/>
      <c r="E43" s="103"/>
      <c r="F43" s="103"/>
      <c r="G43" s="103"/>
      <c r="H43" s="103"/>
      <c r="I43" s="103"/>
      <c r="J43" s="103"/>
      <c r="K43" s="103"/>
      <c r="L43" s="103"/>
      <c r="M43" s="103"/>
      <c r="N43" s="103"/>
      <c r="O43" s="103"/>
      <c r="P43" s="103"/>
      <c r="Q43" s="103"/>
      <c r="R43" s="103"/>
      <c r="S43" s="103"/>
      <c r="T43" s="103"/>
      <c r="U43" s="103"/>
      <c r="V43" s="103"/>
      <c r="W43" s="103"/>
      <c r="X43" s="103"/>
      <c r="Y43" s="103"/>
      <c r="Z43" s="103"/>
      <c r="AA43" s="103"/>
      <c r="AB43" s="103"/>
      <c r="AC43" s="104"/>
      <c r="AD43" s="105">
        <f t="shared" si="1"/>
        <v>89529.4</v>
      </c>
      <c r="AE43" s="106">
        <v>89529.4</v>
      </c>
      <c r="AF43" s="107">
        <v>42652.16</v>
      </c>
      <c r="AG43" s="77">
        <f t="shared" si="2"/>
        <v>47.640395222128156</v>
      </c>
    </row>
    <row r="44" spans="1:33" ht="27.75">
      <c r="A44" s="20" t="s">
        <v>148</v>
      </c>
      <c r="B44" s="111" t="s">
        <v>159</v>
      </c>
      <c r="C44" s="88">
        <f t="shared" si="0"/>
        <v>259290.01</v>
      </c>
      <c r="D44" s="103"/>
      <c r="E44" s="103"/>
      <c r="F44" s="103"/>
      <c r="G44" s="103"/>
      <c r="H44" s="103"/>
      <c r="I44" s="103"/>
      <c r="J44" s="103"/>
      <c r="K44" s="103"/>
      <c r="L44" s="103"/>
      <c r="M44" s="103"/>
      <c r="N44" s="103"/>
      <c r="O44" s="103"/>
      <c r="P44" s="103"/>
      <c r="Q44" s="103"/>
      <c r="R44" s="103"/>
      <c r="S44" s="103"/>
      <c r="T44" s="103"/>
      <c r="U44" s="103"/>
      <c r="V44" s="103"/>
      <c r="W44" s="103"/>
      <c r="X44" s="103"/>
      <c r="Y44" s="103"/>
      <c r="Z44" s="103"/>
      <c r="AA44" s="103"/>
      <c r="AB44" s="103"/>
      <c r="AC44" s="104"/>
      <c r="AD44" s="105">
        <f t="shared" si="1"/>
        <v>259290.01</v>
      </c>
      <c r="AE44" s="106">
        <v>259290.01</v>
      </c>
      <c r="AF44" s="107">
        <f>150000+1917.6+49589.95+30903.29+3251.19</f>
        <v>235662.03</v>
      </c>
      <c r="AG44" s="77">
        <f t="shared" si="2"/>
        <v>90.88743141318865</v>
      </c>
    </row>
    <row r="45" spans="1:33" ht="27.75">
      <c r="A45" s="20" t="s">
        <v>149</v>
      </c>
      <c r="B45" s="111" t="s">
        <v>135</v>
      </c>
      <c r="C45" s="88">
        <f t="shared" si="0"/>
        <v>89529.4</v>
      </c>
      <c r="D45" s="103"/>
      <c r="E45" s="103"/>
      <c r="F45" s="103"/>
      <c r="G45" s="103"/>
      <c r="H45" s="103"/>
      <c r="I45" s="103"/>
      <c r="J45" s="103"/>
      <c r="K45" s="103"/>
      <c r="L45" s="103"/>
      <c r="M45" s="103"/>
      <c r="N45" s="103"/>
      <c r="O45" s="103"/>
      <c r="P45" s="103"/>
      <c r="Q45" s="103"/>
      <c r="R45" s="103"/>
      <c r="S45" s="103"/>
      <c r="T45" s="103"/>
      <c r="U45" s="103"/>
      <c r="V45" s="103"/>
      <c r="W45" s="103"/>
      <c r="X45" s="103"/>
      <c r="Y45" s="103"/>
      <c r="Z45" s="103"/>
      <c r="AA45" s="103"/>
      <c r="AB45" s="103"/>
      <c r="AC45" s="104"/>
      <c r="AD45" s="105">
        <f t="shared" si="1"/>
        <v>89529.4</v>
      </c>
      <c r="AE45" s="106">
        <v>89529.4</v>
      </c>
      <c r="AF45" s="107">
        <v>46059.44</v>
      </c>
      <c r="AG45" s="77">
        <f t="shared" si="2"/>
        <v>51.44616181946936</v>
      </c>
    </row>
    <row r="46" spans="1:33" ht="27.75">
      <c r="A46" s="20" t="s">
        <v>150</v>
      </c>
      <c r="B46" s="112" t="s">
        <v>136</v>
      </c>
      <c r="C46" s="88">
        <f t="shared" si="0"/>
        <v>68183.04</v>
      </c>
      <c r="D46" s="103"/>
      <c r="E46" s="103"/>
      <c r="F46" s="103"/>
      <c r="G46" s="103"/>
      <c r="H46" s="103"/>
      <c r="I46" s="103"/>
      <c r="J46" s="103"/>
      <c r="K46" s="103"/>
      <c r="L46" s="103"/>
      <c r="M46" s="103"/>
      <c r="N46" s="103"/>
      <c r="O46" s="103"/>
      <c r="P46" s="103"/>
      <c r="Q46" s="103"/>
      <c r="R46" s="103"/>
      <c r="S46" s="103"/>
      <c r="T46" s="103"/>
      <c r="U46" s="103"/>
      <c r="V46" s="103"/>
      <c r="W46" s="103"/>
      <c r="X46" s="103"/>
      <c r="Y46" s="103"/>
      <c r="Z46" s="103"/>
      <c r="AA46" s="103"/>
      <c r="AB46" s="103"/>
      <c r="AC46" s="104"/>
      <c r="AD46" s="105">
        <f t="shared" si="1"/>
        <v>68183.04</v>
      </c>
      <c r="AE46" s="106">
        <v>68183.04</v>
      </c>
      <c r="AF46" s="108"/>
      <c r="AG46" s="77">
        <f t="shared" si="2"/>
        <v>0</v>
      </c>
    </row>
    <row r="47" spans="1:33" ht="27.75">
      <c r="A47" s="20" t="s">
        <v>151</v>
      </c>
      <c r="B47" s="111" t="s">
        <v>187</v>
      </c>
      <c r="C47" s="88">
        <f t="shared" si="0"/>
        <v>68183.04</v>
      </c>
      <c r="D47" s="103"/>
      <c r="E47" s="103"/>
      <c r="F47" s="103"/>
      <c r="G47" s="103"/>
      <c r="H47" s="103"/>
      <c r="I47" s="103"/>
      <c r="J47" s="103"/>
      <c r="K47" s="103"/>
      <c r="L47" s="103"/>
      <c r="M47" s="103"/>
      <c r="N47" s="103"/>
      <c r="O47" s="103"/>
      <c r="P47" s="103"/>
      <c r="Q47" s="103"/>
      <c r="R47" s="103"/>
      <c r="S47" s="103"/>
      <c r="T47" s="103"/>
      <c r="U47" s="103"/>
      <c r="V47" s="103"/>
      <c r="W47" s="103"/>
      <c r="X47" s="103"/>
      <c r="Y47" s="103"/>
      <c r="Z47" s="103"/>
      <c r="AA47" s="103"/>
      <c r="AB47" s="103"/>
      <c r="AC47" s="104"/>
      <c r="AD47" s="105">
        <f t="shared" si="1"/>
        <v>68183.04</v>
      </c>
      <c r="AE47" s="106">
        <v>68183.04</v>
      </c>
      <c r="AF47" s="108"/>
      <c r="AG47" s="77">
        <f t="shared" si="2"/>
        <v>0</v>
      </c>
    </row>
    <row r="48" spans="1:33" ht="27.75">
      <c r="A48" s="20" t="s">
        <v>152</v>
      </c>
      <c r="B48" s="111" t="s">
        <v>188</v>
      </c>
      <c r="C48" s="88">
        <f t="shared" si="0"/>
        <v>12000</v>
      </c>
      <c r="D48" s="103"/>
      <c r="E48" s="103"/>
      <c r="F48" s="103"/>
      <c r="G48" s="103"/>
      <c r="H48" s="103"/>
      <c r="I48" s="103"/>
      <c r="J48" s="103"/>
      <c r="K48" s="103"/>
      <c r="L48" s="103"/>
      <c r="M48" s="103"/>
      <c r="N48" s="103"/>
      <c r="O48" s="103"/>
      <c r="P48" s="103"/>
      <c r="Q48" s="103"/>
      <c r="R48" s="103"/>
      <c r="S48" s="103"/>
      <c r="T48" s="103"/>
      <c r="U48" s="103"/>
      <c r="V48" s="103"/>
      <c r="W48" s="103"/>
      <c r="X48" s="103"/>
      <c r="Y48" s="103"/>
      <c r="Z48" s="103"/>
      <c r="AA48" s="103"/>
      <c r="AB48" s="103"/>
      <c r="AC48" s="104"/>
      <c r="AD48" s="105">
        <f t="shared" si="1"/>
        <v>12000</v>
      </c>
      <c r="AE48" s="106">
        <v>12000</v>
      </c>
      <c r="AF48" s="107">
        <v>7432.8</v>
      </c>
      <c r="AG48" s="77">
        <f aca="true" t="shared" si="3" ref="AG48:AG53">AF48/C48*100</f>
        <v>61.940000000000005</v>
      </c>
    </row>
    <row r="49" spans="1:33" ht="27.75">
      <c r="A49" s="20" t="s">
        <v>153</v>
      </c>
      <c r="B49" s="111" t="s">
        <v>137</v>
      </c>
      <c r="C49" s="88">
        <f t="shared" si="0"/>
        <v>6000</v>
      </c>
      <c r="D49" s="103"/>
      <c r="E49" s="103"/>
      <c r="F49" s="103"/>
      <c r="G49" s="103"/>
      <c r="H49" s="103"/>
      <c r="I49" s="103"/>
      <c r="J49" s="103"/>
      <c r="K49" s="103"/>
      <c r="L49" s="103"/>
      <c r="M49" s="103"/>
      <c r="N49" s="103"/>
      <c r="O49" s="103"/>
      <c r="P49" s="103"/>
      <c r="Q49" s="103"/>
      <c r="R49" s="103"/>
      <c r="S49" s="103"/>
      <c r="T49" s="103"/>
      <c r="U49" s="103"/>
      <c r="V49" s="103"/>
      <c r="W49" s="103"/>
      <c r="X49" s="103"/>
      <c r="Y49" s="103"/>
      <c r="Z49" s="103"/>
      <c r="AA49" s="103"/>
      <c r="AB49" s="103"/>
      <c r="AC49" s="104"/>
      <c r="AD49" s="105">
        <f t="shared" si="1"/>
        <v>6000</v>
      </c>
      <c r="AE49" s="106">
        <v>6000</v>
      </c>
      <c r="AF49" s="107">
        <v>2912.4</v>
      </c>
      <c r="AG49" s="77">
        <f t="shared" si="3"/>
        <v>48.54</v>
      </c>
    </row>
    <row r="50" spans="1:33" ht="27.75">
      <c r="A50" s="20" t="s">
        <v>154</v>
      </c>
      <c r="B50" s="111" t="s">
        <v>138</v>
      </c>
      <c r="C50" s="88">
        <f t="shared" si="0"/>
        <v>12500</v>
      </c>
      <c r="D50" s="103"/>
      <c r="E50" s="103"/>
      <c r="F50" s="103"/>
      <c r="G50" s="103"/>
      <c r="H50" s="103"/>
      <c r="I50" s="103"/>
      <c r="J50" s="103"/>
      <c r="K50" s="103"/>
      <c r="L50" s="103"/>
      <c r="M50" s="103"/>
      <c r="N50" s="103"/>
      <c r="O50" s="103"/>
      <c r="P50" s="103"/>
      <c r="Q50" s="103"/>
      <c r="R50" s="103"/>
      <c r="S50" s="103"/>
      <c r="T50" s="103"/>
      <c r="U50" s="103"/>
      <c r="V50" s="103"/>
      <c r="W50" s="103"/>
      <c r="X50" s="103"/>
      <c r="Y50" s="103"/>
      <c r="Z50" s="103"/>
      <c r="AA50" s="103"/>
      <c r="AB50" s="103"/>
      <c r="AC50" s="104"/>
      <c r="AD50" s="105">
        <f t="shared" si="1"/>
        <v>12500</v>
      </c>
      <c r="AE50" s="106">
        <v>12500</v>
      </c>
      <c r="AF50" s="107">
        <v>9697.2</v>
      </c>
      <c r="AG50" s="77">
        <f t="shared" si="3"/>
        <v>77.5776</v>
      </c>
    </row>
    <row r="51" spans="1:33" ht="30.75">
      <c r="A51" s="20" t="s">
        <v>155</v>
      </c>
      <c r="B51" s="113" t="s">
        <v>139</v>
      </c>
      <c r="C51" s="88">
        <f t="shared" si="0"/>
        <v>6000</v>
      </c>
      <c r="D51" s="103"/>
      <c r="E51" s="103"/>
      <c r="F51" s="103"/>
      <c r="G51" s="103"/>
      <c r="H51" s="103"/>
      <c r="I51" s="103"/>
      <c r="J51" s="103"/>
      <c r="K51" s="103"/>
      <c r="L51" s="103"/>
      <c r="M51" s="103"/>
      <c r="N51" s="103"/>
      <c r="O51" s="103"/>
      <c r="P51" s="103"/>
      <c r="Q51" s="103"/>
      <c r="R51" s="103"/>
      <c r="S51" s="103"/>
      <c r="T51" s="103"/>
      <c r="U51" s="103"/>
      <c r="V51" s="103"/>
      <c r="W51" s="103"/>
      <c r="X51" s="103"/>
      <c r="Y51" s="103"/>
      <c r="Z51" s="103"/>
      <c r="AA51" s="103"/>
      <c r="AB51" s="103"/>
      <c r="AC51" s="104"/>
      <c r="AD51" s="105">
        <f t="shared" si="1"/>
        <v>6000</v>
      </c>
      <c r="AE51" s="106">
        <v>6000</v>
      </c>
      <c r="AF51" s="107">
        <v>2588.4</v>
      </c>
      <c r="AG51" s="77">
        <f t="shared" si="3"/>
        <v>43.14</v>
      </c>
    </row>
    <row r="52" spans="1:33" ht="30.75">
      <c r="A52" s="20" t="s">
        <v>156</v>
      </c>
      <c r="B52" s="113" t="s">
        <v>189</v>
      </c>
      <c r="C52" s="88">
        <f t="shared" si="0"/>
        <v>378408</v>
      </c>
      <c r="D52" s="103"/>
      <c r="E52" s="103"/>
      <c r="F52" s="103"/>
      <c r="G52" s="103"/>
      <c r="H52" s="103"/>
      <c r="I52" s="103"/>
      <c r="J52" s="103"/>
      <c r="K52" s="103"/>
      <c r="L52" s="103"/>
      <c r="M52" s="103"/>
      <c r="N52" s="103"/>
      <c r="O52" s="103"/>
      <c r="P52" s="103"/>
      <c r="Q52" s="103"/>
      <c r="R52" s="103"/>
      <c r="S52" s="103"/>
      <c r="T52" s="103"/>
      <c r="U52" s="103"/>
      <c r="V52" s="103"/>
      <c r="W52" s="103"/>
      <c r="X52" s="103"/>
      <c r="Y52" s="103"/>
      <c r="Z52" s="103"/>
      <c r="AA52" s="103"/>
      <c r="AB52" s="103"/>
      <c r="AC52" s="104"/>
      <c r="AD52" s="105">
        <f t="shared" si="1"/>
        <v>378408</v>
      </c>
      <c r="AE52" s="106">
        <v>378408</v>
      </c>
      <c r="AF52" s="107">
        <f>3424.8+98000+41996.8</f>
        <v>143421.6</v>
      </c>
      <c r="AG52" s="77">
        <f t="shared" si="3"/>
        <v>37.90131286864971</v>
      </c>
    </row>
    <row r="53" spans="1:33" ht="27.75">
      <c r="A53" s="20" t="s">
        <v>157</v>
      </c>
      <c r="B53" s="114" t="s">
        <v>140</v>
      </c>
      <c r="C53" s="88">
        <f t="shared" si="0"/>
        <v>67823.44</v>
      </c>
      <c r="D53" s="103"/>
      <c r="E53" s="103"/>
      <c r="F53" s="103"/>
      <c r="G53" s="103"/>
      <c r="H53" s="103"/>
      <c r="I53" s="103"/>
      <c r="J53" s="103"/>
      <c r="K53" s="103"/>
      <c r="L53" s="103"/>
      <c r="M53" s="103"/>
      <c r="N53" s="103"/>
      <c r="O53" s="103"/>
      <c r="P53" s="103"/>
      <c r="Q53" s="103"/>
      <c r="R53" s="103"/>
      <c r="S53" s="103"/>
      <c r="T53" s="103"/>
      <c r="U53" s="103"/>
      <c r="V53" s="103"/>
      <c r="W53" s="103"/>
      <c r="X53" s="103"/>
      <c r="Y53" s="103"/>
      <c r="Z53" s="103"/>
      <c r="AA53" s="103"/>
      <c r="AB53" s="103"/>
      <c r="AC53" s="104"/>
      <c r="AD53" s="105">
        <f t="shared" si="1"/>
        <v>67823.44</v>
      </c>
      <c r="AE53" s="106">
        <v>67823.44</v>
      </c>
      <c r="AF53" s="108"/>
      <c r="AG53" s="77">
        <f t="shared" si="3"/>
        <v>0</v>
      </c>
    </row>
    <row r="54" spans="1:33" ht="27.75">
      <c r="A54" s="20" t="s">
        <v>160</v>
      </c>
      <c r="B54" s="114" t="s">
        <v>191</v>
      </c>
      <c r="C54" s="88">
        <f t="shared" si="0"/>
        <v>170000</v>
      </c>
      <c r="D54" s="103"/>
      <c r="E54" s="103"/>
      <c r="F54" s="103"/>
      <c r="G54" s="103"/>
      <c r="H54" s="103"/>
      <c r="I54" s="103"/>
      <c r="J54" s="103"/>
      <c r="K54" s="103"/>
      <c r="L54" s="103"/>
      <c r="M54" s="103"/>
      <c r="N54" s="103"/>
      <c r="O54" s="103"/>
      <c r="P54" s="103"/>
      <c r="Q54" s="103"/>
      <c r="R54" s="103"/>
      <c r="S54" s="103"/>
      <c r="T54" s="103"/>
      <c r="U54" s="103"/>
      <c r="V54" s="103"/>
      <c r="W54" s="103"/>
      <c r="X54" s="103"/>
      <c r="Y54" s="103"/>
      <c r="Z54" s="103"/>
      <c r="AA54" s="103"/>
      <c r="AB54" s="103"/>
      <c r="AC54" s="104"/>
      <c r="AD54" s="105">
        <f t="shared" si="1"/>
        <v>170000</v>
      </c>
      <c r="AE54" s="106">
        <v>170000</v>
      </c>
      <c r="AF54" s="107">
        <f>3547+93982</f>
        <v>97529</v>
      </c>
      <c r="AG54" s="77">
        <f aca="true" t="shared" si="4" ref="AG54:AG64">AF54/C54*100</f>
        <v>57.37</v>
      </c>
    </row>
    <row r="55" spans="1:33" ht="27.75">
      <c r="A55" s="20" t="s">
        <v>190</v>
      </c>
      <c r="B55" s="114" t="s">
        <v>141</v>
      </c>
      <c r="C55" s="88">
        <f t="shared" si="0"/>
        <v>110473.24</v>
      </c>
      <c r="D55" s="103"/>
      <c r="E55" s="103"/>
      <c r="F55" s="103"/>
      <c r="G55" s="103"/>
      <c r="H55" s="103"/>
      <c r="I55" s="103"/>
      <c r="J55" s="103"/>
      <c r="K55" s="103"/>
      <c r="L55" s="103"/>
      <c r="M55" s="103"/>
      <c r="N55" s="103"/>
      <c r="O55" s="103"/>
      <c r="P55" s="103"/>
      <c r="Q55" s="103"/>
      <c r="R55" s="103"/>
      <c r="S55" s="103"/>
      <c r="T55" s="103"/>
      <c r="U55" s="103"/>
      <c r="V55" s="103"/>
      <c r="W55" s="103"/>
      <c r="X55" s="103"/>
      <c r="Y55" s="103"/>
      <c r="Z55" s="103"/>
      <c r="AA55" s="103"/>
      <c r="AB55" s="103"/>
      <c r="AC55" s="104"/>
      <c r="AD55" s="105">
        <f t="shared" si="1"/>
        <v>110473.24</v>
      </c>
      <c r="AE55" s="106">
        <v>110473.24</v>
      </c>
      <c r="AF55" s="108"/>
      <c r="AG55" s="77">
        <f t="shared" si="4"/>
        <v>0</v>
      </c>
    </row>
    <row r="56" spans="1:33" ht="27.75">
      <c r="A56" s="20" t="s">
        <v>192</v>
      </c>
      <c r="B56" s="114" t="s">
        <v>142</v>
      </c>
      <c r="C56" s="88">
        <f t="shared" si="0"/>
        <v>37506.28</v>
      </c>
      <c r="D56" s="103"/>
      <c r="E56" s="103"/>
      <c r="F56" s="103"/>
      <c r="G56" s="103"/>
      <c r="H56" s="103"/>
      <c r="I56" s="103"/>
      <c r="J56" s="103"/>
      <c r="K56" s="103"/>
      <c r="L56" s="103"/>
      <c r="M56" s="103"/>
      <c r="N56" s="103"/>
      <c r="O56" s="103"/>
      <c r="P56" s="103"/>
      <c r="Q56" s="103"/>
      <c r="R56" s="103"/>
      <c r="S56" s="103"/>
      <c r="T56" s="103"/>
      <c r="U56" s="103"/>
      <c r="V56" s="103"/>
      <c r="W56" s="103"/>
      <c r="X56" s="103"/>
      <c r="Y56" s="103"/>
      <c r="Z56" s="103"/>
      <c r="AA56" s="103"/>
      <c r="AB56" s="103"/>
      <c r="AC56" s="104"/>
      <c r="AD56" s="105">
        <f t="shared" si="1"/>
        <v>37506.28</v>
      </c>
      <c r="AE56" s="106">
        <v>37506.28</v>
      </c>
      <c r="AF56" s="108"/>
      <c r="AG56" s="77">
        <f t="shared" si="4"/>
        <v>0</v>
      </c>
    </row>
    <row r="57" spans="1:33" ht="27.75">
      <c r="A57" s="20" t="s">
        <v>193</v>
      </c>
      <c r="B57" s="114" t="s">
        <v>195</v>
      </c>
      <c r="C57" s="88">
        <f t="shared" si="0"/>
        <v>100000</v>
      </c>
      <c r="D57" s="103"/>
      <c r="E57" s="103"/>
      <c r="F57" s="103"/>
      <c r="G57" s="103"/>
      <c r="H57" s="103"/>
      <c r="I57" s="103"/>
      <c r="J57" s="103"/>
      <c r="K57" s="103"/>
      <c r="L57" s="103"/>
      <c r="M57" s="103"/>
      <c r="N57" s="103"/>
      <c r="O57" s="103"/>
      <c r="P57" s="103"/>
      <c r="Q57" s="103"/>
      <c r="R57" s="103"/>
      <c r="S57" s="103"/>
      <c r="T57" s="103"/>
      <c r="U57" s="103"/>
      <c r="V57" s="103"/>
      <c r="W57" s="103"/>
      <c r="X57" s="103"/>
      <c r="Y57" s="103"/>
      <c r="Z57" s="103"/>
      <c r="AA57" s="103"/>
      <c r="AB57" s="103"/>
      <c r="AC57" s="104"/>
      <c r="AD57" s="105">
        <f t="shared" si="1"/>
        <v>100000</v>
      </c>
      <c r="AE57" s="106">
        <v>100000</v>
      </c>
      <c r="AF57" s="107">
        <f>3547+51441</f>
        <v>54988</v>
      </c>
      <c r="AG57" s="77">
        <f t="shared" si="4"/>
        <v>54.98800000000001</v>
      </c>
    </row>
    <row r="58" spans="1:33" ht="27.75">
      <c r="A58" s="20" t="s">
        <v>194</v>
      </c>
      <c r="B58" s="114" t="s">
        <v>143</v>
      </c>
      <c r="C58" s="88">
        <f t="shared" si="0"/>
        <v>2700</v>
      </c>
      <c r="D58" s="103"/>
      <c r="E58" s="103"/>
      <c r="F58" s="103"/>
      <c r="G58" s="103"/>
      <c r="H58" s="103"/>
      <c r="I58" s="103"/>
      <c r="J58" s="103"/>
      <c r="K58" s="103"/>
      <c r="L58" s="103"/>
      <c r="M58" s="103"/>
      <c r="N58" s="103"/>
      <c r="O58" s="103"/>
      <c r="P58" s="103"/>
      <c r="Q58" s="103"/>
      <c r="R58" s="103"/>
      <c r="S58" s="103"/>
      <c r="T58" s="103"/>
      <c r="U58" s="103"/>
      <c r="V58" s="103"/>
      <c r="W58" s="103"/>
      <c r="X58" s="103"/>
      <c r="Y58" s="103"/>
      <c r="Z58" s="103"/>
      <c r="AA58" s="103"/>
      <c r="AB58" s="103"/>
      <c r="AC58" s="104"/>
      <c r="AD58" s="105">
        <f t="shared" si="1"/>
        <v>2700</v>
      </c>
      <c r="AE58" s="106">
        <v>2700</v>
      </c>
      <c r="AF58" s="108"/>
      <c r="AG58" s="77">
        <f t="shared" si="4"/>
        <v>0</v>
      </c>
    </row>
    <row r="59" spans="1:33" ht="27.75">
      <c r="A59" s="20" t="s">
        <v>196</v>
      </c>
      <c r="B59" s="114" t="s">
        <v>144</v>
      </c>
      <c r="C59" s="88">
        <f t="shared" si="0"/>
        <v>3500</v>
      </c>
      <c r="D59" s="103"/>
      <c r="E59" s="103"/>
      <c r="F59" s="103"/>
      <c r="G59" s="103"/>
      <c r="H59" s="103"/>
      <c r="I59" s="103"/>
      <c r="J59" s="103"/>
      <c r="K59" s="103"/>
      <c r="L59" s="103"/>
      <c r="M59" s="103"/>
      <c r="N59" s="103"/>
      <c r="O59" s="103"/>
      <c r="P59" s="103"/>
      <c r="Q59" s="103"/>
      <c r="R59" s="103"/>
      <c r="S59" s="103"/>
      <c r="T59" s="103"/>
      <c r="U59" s="103"/>
      <c r="V59" s="103"/>
      <c r="W59" s="103"/>
      <c r="X59" s="103"/>
      <c r="Y59" s="103"/>
      <c r="Z59" s="103"/>
      <c r="AA59" s="103"/>
      <c r="AB59" s="103"/>
      <c r="AC59" s="104"/>
      <c r="AD59" s="105">
        <f t="shared" si="1"/>
        <v>3500</v>
      </c>
      <c r="AE59" s="106">
        <v>3500</v>
      </c>
      <c r="AF59" s="108"/>
      <c r="AG59" s="77">
        <f t="shared" si="4"/>
        <v>0</v>
      </c>
    </row>
    <row r="60" spans="1:33" ht="27.75">
      <c r="A60" s="20" t="s">
        <v>197</v>
      </c>
      <c r="B60" s="114" t="s">
        <v>199</v>
      </c>
      <c r="C60" s="88">
        <f t="shared" si="0"/>
        <v>200000</v>
      </c>
      <c r="D60" s="103"/>
      <c r="E60" s="103"/>
      <c r="F60" s="103"/>
      <c r="G60" s="103"/>
      <c r="H60" s="103"/>
      <c r="I60" s="103"/>
      <c r="J60" s="103"/>
      <c r="K60" s="103"/>
      <c r="L60" s="103"/>
      <c r="M60" s="103"/>
      <c r="N60" s="103"/>
      <c r="O60" s="103"/>
      <c r="P60" s="103"/>
      <c r="Q60" s="103"/>
      <c r="R60" s="103"/>
      <c r="S60" s="103"/>
      <c r="T60" s="103"/>
      <c r="U60" s="103"/>
      <c r="V60" s="103"/>
      <c r="W60" s="103"/>
      <c r="X60" s="103"/>
      <c r="Y60" s="103"/>
      <c r="Z60" s="103"/>
      <c r="AA60" s="103"/>
      <c r="AB60" s="103"/>
      <c r="AC60" s="104"/>
      <c r="AD60" s="105">
        <f t="shared" si="1"/>
        <v>200000</v>
      </c>
      <c r="AE60" s="106">
        <v>200000</v>
      </c>
      <c r="AF60" s="107">
        <f>11257+132120</f>
        <v>143377</v>
      </c>
      <c r="AG60" s="77">
        <f t="shared" si="4"/>
        <v>71.6885</v>
      </c>
    </row>
    <row r="61" spans="1:33" ht="27.75">
      <c r="A61" s="20" t="s">
        <v>198</v>
      </c>
      <c r="B61" s="114" t="s">
        <v>201</v>
      </c>
      <c r="C61" s="88">
        <f t="shared" si="0"/>
        <v>350000</v>
      </c>
      <c r="D61" s="103"/>
      <c r="E61" s="103"/>
      <c r="F61" s="103"/>
      <c r="G61" s="103"/>
      <c r="H61" s="103"/>
      <c r="I61" s="103"/>
      <c r="J61" s="103"/>
      <c r="K61" s="103"/>
      <c r="L61" s="103"/>
      <c r="M61" s="103"/>
      <c r="N61" s="103"/>
      <c r="O61" s="103"/>
      <c r="P61" s="103"/>
      <c r="Q61" s="103"/>
      <c r="R61" s="103"/>
      <c r="S61" s="103"/>
      <c r="T61" s="103"/>
      <c r="U61" s="103"/>
      <c r="V61" s="103"/>
      <c r="W61" s="103"/>
      <c r="X61" s="103"/>
      <c r="Y61" s="103"/>
      <c r="Z61" s="103"/>
      <c r="AA61" s="103"/>
      <c r="AB61" s="103"/>
      <c r="AC61" s="104"/>
      <c r="AD61" s="105">
        <f t="shared" si="1"/>
        <v>350000</v>
      </c>
      <c r="AE61" s="106">
        <v>350000</v>
      </c>
      <c r="AF61" s="107">
        <v>12264</v>
      </c>
      <c r="AG61" s="77">
        <f t="shared" si="4"/>
        <v>3.504</v>
      </c>
    </row>
    <row r="62" spans="1:33" ht="27.75">
      <c r="A62" s="20" t="s">
        <v>200</v>
      </c>
      <c r="B62" s="114" t="s">
        <v>161</v>
      </c>
      <c r="C62" s="88">
        <f t="shared" si="0"/>
        <v>200000</v>
      </c>
      <c r="D62" s="103"/>
      <c r="E62" s="103"/>
      <c r="F62" s="103"/>
      <c r="G62" s="103"/>
      <c r="H62" s="103"/>
      <c r="I62" s="103"/>
      <c r="J62" s="103"/>
      <c r="K62" s="103"/>
      <c r="L62" s="103"/>
      <c r="M62" s="103"/>
      <c r="N62" s="103"/>
      <c r="O62" s="103"/>
      <c r="P62" s="103"/>
      <c r="Q62" s="103"/>
      <c r="R62" s="103"/>
      <c r="S62" s="103"/>
      <c r="T62" s="103"/>
      <c r="U62" s="103"/>
      <c r="V62" s="103"/>
      <c r="W62" s="103"/>
      <c r="X62" s="103"/>
      <c r="Y62" s="103"/>
      <c r="Z62" s="103"/>
      <c r="AA62" s="103"/>
      <c r="AB62" s="103"/>
      <c r="AC62" s="104"/>
      <c r="AD62" s="105">
        <f t="shared" si="1"/>
        <v>200000</v>
      </c>
      <c r="AE62" s="106">
        <v>200000</v>
      </c>
      <c r="AF62" s="107">
        <f>14000+128787</f>
        <v>142787</v>
      </c>
      <c r="AG62" s="77">
        <f t="shared" si="4"/>
        <v>71.3935</v>
      </c>
    </row>
    <row r="63" spans="1:33" ht="27.75">
      <c r="A63" s="20" t="s">
        <v>202</v>
      </c>
      <c r="B63" s="114" t="s">
        <v>162</v>
      </c>
      <c r="C63" s="88">
        <f t="shared" si="0"/>
        <v>200000</v>
      </c>
      <c r="D63" s="103"/>
      <c r="E63" s="103"/>
      <c r="F63" s="103"/>
      <c r="G63" s="103"/>
      <c r="H63" s="103"/>
      <c r="I63" s="103"/>
      <c r="J63" s="103"/>
      <c r="K63" s="103"/>
      <c r="L63" s="103"/>
      <c r="M63" s="103"/>
      <c r="N63" s="103"/>
      <c r="O63" s="103"/>
      <c r="P63" s="103"/>
      <c r="Q63" s="103"/>
      <c r="R63" s="103"/>
      <c r="S63" s="103"/>
      <c r="T63" s="103"/>
      <c r="U63" s="103"/>
      <c r="V63" s="103"/>
      <c r="W63" s="103"/>
      <c r="X63" s="103"/>
      <c r="Y63" s="103"/>
      <c r="Z63" s="103"/>
      <c r="AA63" s="103"/>
      <c r="AB63" s="103"/>
      <c r="AC63" s="104"/>
      <c r="AD63" s="105">
        <f t="shared" si="1"/>
        <v>200000</v>
      </c>
      <c r="AE63" s="106">
        <v>200000</v>
      </c>
      <c r="AF63" s="107">
        <f>14000+128787</f>
        <v>142787</v>
      </c>
      <c r="AG63" s="77">
        <f t="shared" si="4"/>
        <v>71.3935</v>
      </c>
    </row>
    <row r="64" spans="1:33" ht="55.5">
      <c r="A64" s="20" t="s">
        <v>203</v>
      </c>
      <c r="B64" s="52" t="s">
        <v>204</v>
      </c>
      <c r="C64" s="88">
        <f t="shared" si="0"/>
        <v>18900000</v>
      </c>
      <c r="D64" s="39"/>
      <c r="E64" s="39"/>
      <c r="F64" s="39"/>
      <c r="G64" s="39"/>
      <c r="H64" s="39"/>
      <c r="I64" s="39"/>
      <c r="J64" s="39"/>
      <c r="K64" s="39"/>
      <c r="L64" s="39"/>
      <c r="M64" s="39"/>
      <c r="N64" s="39"/>
      <c r="O64" s="39"/>
      <c r="P64" s="39"/>
      <c r="Q64" s="39"/>
      <c r="R64" s="39"/>
      <c r="S64" s="39"/>
      <c r="T64" s="39"/>
      <c r="U64" s="39"/>
      <c r="V64" s="39"/>
      <c r="W64" s="39"/>
      <c r="X64" s="39"/>
      <c r="Y64" s="39"/>
      <c r="Z64" s="39"/>
      <c r="AA64" s="39"/>
      <c r="AB64" s="39"/>
      <c r="AC64" s="19"/>
      <c r="AD64" s="24">
        <f t="shared" si="1"/>
        <v>18900000</v>
      </c>
      <c r="AE64" s="80">
        <v>18900000</v>
      </c>
      <c r="AF64" s="107">
        <f>2574176.16+727025.16</f>
        <v>3301201.3200000003</v>
      </c>
      <c r="AG64" s="77">
        <f t="shared" si="4"/>
        <v>17.466673650793652</v>
      </c>
    </row>
    <row r="65" spans="1:33" ht="15">
      <c r="A65" s="27" t="s">
        <v>84</v>
      </c>
      <c r="B65" s="53" t="s">
        <v>127</v>
      </c>
      <c r="C65" s="40">
        <f>AD65</f>
        <v>7175000</v>
      </c>
      <c r="D65" s="37"/>
      <c r="E65" s="37"/>
      <c r="F65" s="37"/>
      <c r="G65" s="37"/>
      <c r="H65" s="37"/>
      <c r="I65" s="37"/>
      <c r="J65" s="37"/>
      <c r="K65" s="37"/>
      <c r="L65" s="37"/>
      <c r="M65" s="37"/>
      <c r="N65" s="37"/>
      <c r="O65" s="37"/>
      <c r="P65" s="37"/>
      <c r="Q65" s="37"/>
      <c r="R65" s="37"/>
      <c r="S65" s="37"/>
      <c r="T65" s="37"/>
      <c r="U65" s="37"/>
      <c r="V65" s="37"/>
      <c r="W65" s="37"/>
      <c r="X65" s="37"/>
      <c r="Y65" s="37"/>
      <c r="Z65" s="37"/>
      <c r="AA65" s="37"/>
      <c r="AB65" s="37"/>
      <c r="AC65" s="28"/>
      <c r="AD65" s="29">
        <f>AD66</f>
        <v>7175000</v>
      </c>
      <c r="AE65" s="63">
        <f>AD65</f>
        <v>7175000</v>
      </c>
      <c r="AF65" s="36">
        <f>AF66</f>
        <v>6704743.19</v>
      </c>
      <c r="AG65" s="76">
        <f t="shared" si="2"/>
        <v>93.44589811846691</v>
      </c>
    </row>
    <row r="66" spans="1:33" ht="55.5">
      <c r="A66" s="20" t="s">
        <v>107</v>
      </c>
      <c r="B66" s="51" t="s">
        <v>81</v>
      </c>
      <c r="C66" s="38">
        <f>AD66</f>
        <v>7175000</v>
      </c>
      <c r="D66" s="39"/>
      <c r="E66" s="39"/>
      <c r="F66" s="39"/>
      <c r="G66" s="39"/>
      <c r="H66" s="39"/>
      <c r="I66" s="39"/>
      <c r="J66" s="39"/>
      <c r="K66" s="39"/>
      <c r="L66" s="39"/>
      <c r="M66" s="39"/>
      <c r="N66" s="39"/>
      <c r="O66" s="39"/>
      <c r="P66" s="39"/>
      <c r="Q66" s="39"/>
      <c r="R66" s="39"/>
      <c r="S66" s="39"/>
      <c r="T66" s="39"/>
      <c r="U66" s="39"/>
      <c r="V66" s="39"/>
      <c r="W66" s="39"/>
      <c r="X66" s="39"/>
      <c r="Y66" s="39"/>
      <c r="Z66" s="39"/>
      <c r="AA66" s="39"/>
      <c r="AB66" s="39"/>
      <c r="AC66" s="19"/>
      <c r="AD66" s="25">
        <v>7175000</v>
      </c>
      <c r="AE66" s="64">
        <f>AD66</f>
        <v>7175000</v>
      </c>
      <c r="AF66" s="80">
        <f>2994538.8+52872+280044+277828.59+929435.6+877224+84962.4+10565+782249.4+44887.2+370136.2</f>
        <v>6704743.19</v>
      </c>
      <c r="AG66" s="77">
        <f t="shared" si="2"/>
        <v>93.44589811846691</v>
      </c>
    </row>
    <row r="67" spans="1:33" ht="30">
      <c r="A67" s="27" t="s">
        <v>27</v>
      </c>
      <c r="B67" s="53" t="s">
        <v>222</v>
      </c>
      <c r="C67" s="40">
        <f>AD67</f>
        <v>2545000</v>
      </c>
      <c r="D67" s="37"/>
      <c r="E67" s="37"/>
      <c r="F67" s="37"/>
      <c r="G67" s="37"/>
      <c r="H67" s="37"/>
      <c r="I67" s="37"/>
      <c r="J67" s="37"/>
      <c r="K67" s="37"/>
      <c r="L67" s="37"/>
      <c r="M67" s="37"/>
      <c r="N67" s="37"/>
      <c r="O67" s="37"/>
      <c r="P67" s="37"/>
      <c r="Q67" s="37"/>
      <c r="R67" s="37"/>
      <c r="S67" s="37"/>
      <c r="T67" s="37"/>
      <c r="U67" s="37"/>
      <c r="V67" s="37"/>
      <c r="W67" s="37"/>
      <c r="X67" s="37"/>
      <c r="Y67" s="37"/>
      <c r="Z67" s="37"/>
      <c r="AA67" s="37"/>
      <c r="AB67" s="37"/>
      <c r="AC67" s="28"/>
      <c r="AD67" s="29">
        <f>AD68</f>
        <v>2545000</v>
      </c>
      <c r="AE67" s="63">
        <f>AD67</f>
        <v>2545000</v>
      </c>
      <c r="AF67" s="36">
        <f>AF68</f>
        <v>1627112</v>
      </c>
      <c r="AG67" s="76">
        <f t="shared" si="2"/>
        <v>63.93367387033398</v>
      </c>
    </row>
    <row r="68" spans="1:33" ht="42">
      <c r="A68" s="20" t="s">
        <v>53</v>
      </c>
      <c r="B68" s="51" t="s">
        <v>82</v>
      </c>
      <c r="C68" s="38">
        <f>AD68</f>
        <v>2545000</v>
      </c>
      <c r="D68" s="39"/>
      <c r="E68" s="39"/>
      <c r="F68" s="39"/>
      <c r="G68" s="39"/>
      <c r="H68" s="39"/>
      <c r="I68" s="39"/>
      <c r="J68" s="39"/>
      <c r="K68" s="39"/>
      <c r="L68" s="39"/>
      <c r="M68" s="39"/>
      <c r="N68" s="39"/>
      <c r="O68" s="39"/>
      <c r="P68" s="39"/>
      <c r="Q68" s="39"/>
      <c r="R68" s="39"/>
      <c r="S68" s="39"/>
      <c r="T68" s="39"/>
      <c r="U68" s="39"/>
      <c r="V68" s="39"/>
      <c r="W68" s="39"/>
      <c r="X68" s="39"/>
      <c r="Y68" s="39"/>
      <c r="Z68" s="39"/>
      <c r="AA68" s="39"/>
      <c r="AB68" s="39"/>
      <c r="AC68" s="19"/>
      <c r="AD68" s="25">
        <v>2545000</v>
      </c>
      <c r="AE68" s="64">
        <f>AD68</f>
        <v>2545000</v>
      </c>
      <c r="AF68" s="129">
        <f>278748+651313+697051</f>
        <v>1627112</v>
      </c>
      <c r="AG68" s="77">
        <f t="shared" si="2"/>
        <v>63.93367387033398</v>
      </c>
    </row>
    <row r="69" spans="1:33" s="3" customFormat="1" ht="29.25" customHeight="1">
      <c r="A69" s="22" t="s">
        <v>108</v>
      </c>
      <c r="B69" s="54" t="s">
        <v>23</v>
      </c>
      <c r="C69" s="40">
        <f>AC69+AD69</f>
        <v>51818854.68</v>
      </c>
      <c r="D69" s="40">
        <f aca="true" t="shared" si="5" ref="D69:AB69">D70+D77+D83+D87+D94+D103+D106+D115+D117+D120+D121+D124</f>
        <v>0</v>
      </c>
      <c r="E69" s="40">
        <f t="shared" si="5"/>
        <v>0</v>
      </c>
      <c r="F69" s="40">
        <f t="shared" si="5"/>
        <v>0</v>
      </c>
      <c r="G69" s="40">
        <f t="shared" si="5"/>
        <v>0</v>
      </c>
      <c r="H69" s="40">
        <f t="shared" si="5"/>
        <v>0</v>
      </c>
      <c r="I69" s="40">
        <f t="shared" si="5"/>
        <v>0</v>
      </c>
      <c r="J69" s="40">
        <f t="shared" si="5"/>
        <v>0</v>
      </c>
      <c r="K69" s="40">
        <f t="shared" si="5"/>
        <v>0</v>
      </c>
      <c r="L69" s="40">
        <f t="shared" si="5"/>
        <v>0</v>
      </c>
      <c r="M69" s="40">
        <f t="shared" si="5"/>
        <v>0</v>
      </c>
      <c r="N69" s="40">
        <f t="shared" si="5"/>
        <v>0</v>
      </c>
      <c r="O69" s="40">
        <f t="shared" si="5"/>
        <v>0</v>
      </c>
      <c r="P69" s="40">
        <f t="shared" si="5"/>
        <v>0</v>
      </c>
      <c r="Q69" s="40">
        <f t="shared" si="5"/>
        <v>0</v>
      </c>
      <c r="R69" s="40">
        <f t="shared" si="5"/>
        <v>0</v>
      </c>
      <c r="S69" s="40">
        <f t="shared" si="5"/>
        <v>0</v>
      </c>
      <c r="T69" s="40">
        <f t="shared" si="5"/>
        <v>0</v>
      </c>
      <c r="U69" s="40">
        <f t="shared" si="5"/>
        <v>0</v>
      </c>
      <c r="V69" s="40">
        <f t="shared" si="5"/>
        <v>0</v>
      </c>
      <c r="W69" s="40">
        <f t="shared" si="5"/>
        <v>0</v>
      </c>
      <c r="X69" s="40">
        <f t="shared" si="5"/>
        <v>0</v>
      </c>
      <c r="Y69" s="40">
        <f t="shared" si="5"/>
        <v>0</v>
      </c>
      <c r="Z69" s="40">
        <f t="shared" si="5"/>
        <v>0</v>
      </c>
      <c r="AA69" s="40">
        <f t="shared" si="5"/>
        <v>0</v>
      </c>
      <c r="AB69" s="40">
        <f t="shared" si="5"/>
        <v>0</v>
      </c>
      <c r="AC69" s="40">
        <f>AC70+AC77+AC83+AC87+AC94+AC103+AC106+AC115+AC117+AC120+AC121+AC124+AC127</f>
        <v>49618854.68</v>
      </c>
      <c r="AD69" s="34">
        <f>AE69</f>
        <v>2200000</v>
      </c>
      <c r="AE69" s="65">
        <f>AE94+AE106</f>
        <v>2200000</v>
      </c>
      <c r="AF69" s="40">
        <f>AF70+AF77+AF83+AF87+AF94+AF103+AF106+AF115+AF117+AF120+AF121+AF124+AF127</f>
        <v>39435201.43</v>
      </c>
      <c r="AG69" s="76">
        <f t="shared" si="2"/>
        <v>76.10203211461639</v>
      </c>
    </row>
    <row r="70" spans="1:33" ht="27.75">
      <c r="A70" s="9" t="s">
        <v>114</v>
      </c>
      <c r="B70" s="55" t="s">
        <v>18</v>
      </c>
      <c r="C70" s="41">
        <f>SUM(C71:C76)</f>
        <v>17834496.89</v>
      </c>
      <c r="D70" s="41">
        <f aca="true" t="shared" si="6" ref="D70:AB70">SUM(D71:D76)</f>
        <v>0</v>
      </c>
      <c r="E70" s="41">
        <f t="shared" si="6"/>
        <v>0</v>
      </c>
      <c r="F70" s="41">
        <f t="shared" si="6"/>
        <v>0</v>
      </c>
      <c r="G70" s="41">
        <f t="shared" si="6"/>
        <v>0</v>
      </c>
      <c r="H70" s="41">
        <f t="shared" si="6"/>
        <v>0</v>
      </c>
      <c r="I70" s="41">
        <f t="shared" si="6"/>
        <v>0</v>
      </c>
      <c r="J70" s="41">
        <f t="shared" si="6"/>
        <v>0</v>
      </c>
      <c r="K70" s="41">
        <f t="shared" si="6"/>
        <v>0</v>
      </c>
      <c r="L70" s="41">
        <f t="shared" si="6"/>
        <v>0</v>
      </c>
      <c r="M70" s="41">
        <f t="shared" si="6"/>
        <v>0</v>
      </c>
      <c r="N70" s="41">
        <f t="shared" si="6"/>
        <v>0</v>
      </c>
      <c r="O70" s="41">
        <f t="shared" si="6"/>
        <v>0</v>
      </c>
      <c r="P70" s="41">
        <f t="shared" si="6"/>
        <v>0</v>
      </c>
      <c r="Q70" s="41">
        <f t="shared" si="6"/>
        <v>0</v>
      </c>
      <c r="R70" s="41">
        <f t="shared" si="6"/>
        <v>0</v>
      </c>
      <c r="S70" s="41">
        <f t="shared" si="6"/>
        <v>0</v>
      </c>
      <c r="T70" s="41">
        <f t="shared" si="6"/>
        <v>0</v>
      </c>
      <c r="U70" s="41">
        <f t="shared" si="6"/>
        <v>0</v>
      </c>
      <c r="V70" s="41">
        <f t="shared" si="6"/>
        <v>0</v>
      </c>
      <c r="W70" s="41">
        <f t="shared" si="6"/>
        <v>0</v>
      </c>
      <c r="X70" s="41">
        <f t="shared" si="6"/>
        <v>0</v>
      </c>
      <c r="Y70" s="41">
        <f t="shared" si="6"/>
        <v>0</v>
      </c>
      <c r="Z70" s="41">
        <f t="shared" si="6"/>
        <v>0</v>
      </c>
      <c r="AA70" s="41">
        <f t="shared" si="6"/>
        <v>0</v>
      </c>
      <c r="AB70" s="41">
        <f t="shared" si="6"/>
        <v>0</v>
      </c>
      <c r="AC70" s="41">
        <f>C70</f>
        <v>17834496.89</v>
      </c>
      <c r="AD70" s="15"/>
      <c r="AE70" s="66"/>
      <c r="AF70" s="89">
        <f>SUM(AF71:AF76)</f>
        <v>14720039.65</v>
      </c>
      <c r="AG70" s="78">
        <f t="shared" si="2"/>
        <v>82.53689319519682</v>
      </c>
    </row>
    <row r="71" spans="1:33" ht="13.5">
      <c r="A71" s="9"/>
      <c r="B71" s="56" t="s">
        <v>64</v>
      </c>
      <c r="C71" s="42">
        <f>5410577-4100000-230979.51-80100-115500-144390</f>
        <v>739607.49</v>
      </c>
      <c r="D71" s="43"/>
      <c r="E71" s="43"/>
      <c r="F71" s="43"/>
      <c r="G71" s="43"/>
      <c r="H71" s="43"/>
      <c r="I71" s="43"/>
      <c r="J71" s="43"/>
      <c r="K71" s="43"/>
      <c r="L71" s="43"/>
      <c r="M71" s="43"/>
      <c r="N71" s="43"/>
      <c r="O71" s="43"/>
      <c r="P71" s="43"/>
      <c r="Q71" s="43"/>
      <c r="R71" s="43"/>
      <c r="S71" s="43"/>
      <c r="T71" s="43"/>
      <c r="U71" s="43"/>
      <c r="V71" s="43"/>
      <c r="W71" s="43"/>
      <c r="X71" s="43"/>
      <c r="Y71" s="43"/>
      <c r="Z71" s="43"/>
      <c r="AA71" s="43"/>
      <c r="AB71" s="43"/>
      <c r="AC71" s="42">
        <f aca="true" t="shared" si="7" ref="AC71:AC127">C71</f>
        <v>739607.49</v>
      </c>
      <c r="AD71" s="16"/>
      <c r="AE71" s="66"/>
      <c r="AF71" s="90">
        <v>711836.19</v>
      </c>
      <c r="AG71" s="79">
        <f t="shared" si="2"/>
        <v>96.24512996751831</v>
      </c>
    </row>
    <row r="72" spans="1:33" ht="27.75">
      <c r="A72" s="9"/>
      <c r="B72" s="56" t="s">
        <v>132</v>
      </c>
      <c r="C72" s="42">
        <f>4100000-50000</f>
        <v>4050000</v>
      </c>
      <c r="D72" s="43"/>
      <c r="E72" s="43"/>
      <c r="F72" s="43"/>
      <c r="G72" s="43"/>
      <c r="H72" s="43"/>
      <c r="I72" s="43"/>
      <c r="J72" s="43"/>
      <c r="K72" s="43"/>
      <c r="L72" s="43"/>
      <c r="M72" s="43"/>
      <c r="N72" s="43"/>
      <c r="O72" s="43"/>
      <c r="P72" s="43"/>
      <c r="Q72" s="43"/>
      <c r="R72" s="43"/>
      <c r="S72" s="43"/>
      <c r="T72" s="43"/>
      <c r="U72" s="43"/>
      <c r="V72" s="43"/>
      <c r="W72" s="43"/>
      <c r="X72" s="43"/>
      <c r="Y72" s="43"/>
      <c r="Z72" s="43"/>
      <c r="AA72" s="43"/>
      <c r="AB72" s="43"/>
      <c r="AC72" s="42">
        <f>C72</f>
        <v>4050000</v>
      </c>
      <c r="AD72" s="16"/>
      <c r="AE72" s="66"/>
      <c r="AF72" s="91">
        <f>455000+314965+130620+343290+97715+339580+98470+273260+131835+305145+214330+338205+124700+417475</f>
        <v>3584590</v>
      </c>
      <c r="AG72" s="79">
        <f t="shared" si="2"/>
        <v>88.5083950617284</v>
      </c>
    </row>
    <row r="73" spans="1:33" ht="13.5">
      <c r="A73" s="9"/>
      <c r="B73" s="56" t="s">
        <v>63</v>
      </c>
      <c r="C73" s="42">
        <v>10280421</v>
      </c>
      <c r="D73" s="43"/>
      <c r="E73" s="43"/>
      <c r="F73" s="43"/>
      <c r="G73" s="43"/>
      <c r="H73" s="43"/>
      <c r="I73" s="43"/>
      <c r="J73" s="43"/>
      <c r="K73" s="43"/>
      <c r="L73" s="43"/>
      <c r="M73" s="43"/>
      <c r="N73" s="43"/>
      <c r="O73" s="43"/>
      <c r="P73" s="43"/>
      <c r="Q73" s="43"/>
      <c r="R73" s="43"/>
      <c r="S73" s="43"/>
      <c r="T73" s="43"/>
      <c r="U73" s="43"/>
      <c r="V73" s="43"/>
      <c r="W73" s="43"/>
      <c r="X73" s="43"/>
      <c r="Y73" s="43"/>
      <c r="Z73" s="43"/>
      <c r="AA73" s="43"/>
      <c r="AB73" s="43"/>
      <c r="AC73" s="42">
        <f t="shared" si="7"/>
        <v>10280421</v>
      </c>
      <c r="AD73" s="16"/>
      <c r="AE73" s="66"/>
      <c r="AF73" s="90">
        <f>2365770.77+938491.55+624657.88+597865.39+521903.53+454645.44+638736.55+719669.99+997233.12</f>
        <v>7858974.220000001</v>
      </c>
      <c r="AG73" s="79">
        <f t="shared" si="2"/>
        <v>76.4460348462383</v>
      </c>
    </row>
    <row r="74" spans="1:33" ht="27.75">
      <c r="A74" s="9"/>
      <c r="B74" s="56" t="s">
        <v>42</v>
      </c>
      <c r="C74" s="42">
        <f>652567+77756.4</f>
        <v>730323.4</v>
      </c>
      <c r="D74" s="43"/>
      <c r="E74" s="43"/>
      <c r="F74" s="43"/>
      <c r="G74" s="43"/>
      <c r="H74" s="43"/>
      <c r="I74" s="43"/>
      <c r="J74" s="43"/>
      <c r="K74" s="43"/>
      <c r="L74" s="43"/>
      <c r="M74" s="43"/>
      <c r="N74" s="43"/>
      <c r="O74" s="43"/>
      <c r="P74" s="43"/>
      <c r="Q74" s="43"/>
      <c r="R74" s="43"/>
      <c r="S74" s="43"/>
      <c r="T74" s="43"/>
      <c r="U74" s="43"/>
      <c r="V74" s="43"/>
      <c r="W74" s="43"/>
      <c r="X74" s="43"/>
      <c r="Y74" s="43"/>
      <c r="Z74" s="43"/>
      <c r="AA74" s="43"/>
      <c r="AB74" s="43"/>
      <c r="AC74" s="42">
        <f t="shared" si="7"/>
        <v>730323.4</v>
      </c>
      <c r="AD74" s="16"/>
      <c r="AE74" s="66"/>
      <c r="AF74" s="91">
        <f>46671+2500+4491+51671+51162+4491+2500+46671+4491+46671+4491+46671+5000+24687+4491+30677+2500+4491+24868.9+30677+24866.9+4491+2500+30677+29358.9+2500+30677+24867.9+6991+606+30677+4491+24867.9</f>
        <v>657444.5000000001</v>
      </c>
      <c r="AG74" s="79">
        <f t="shared" si="2"/>
        <v>90.02100987042179</v>
      </c>
    </row>
    <row r="75" spans="1:33" ht="27.75">
      <c r="A75" s="9"/>
      <c r="B75" s="56" t="s">
        <v>30</v>
      </c>
      <c r="C75" s="42">
        <f>672025.28+359929.72</f>
        <v>1031955</v>
      </c>
      <c r="D75" s="43"/>
      <c r="E75" s="43"/>
      <c r="F75" s="43"/>
      <c r="G75" s="43"/>
      <c r="H75" s="43"/>
      <c r="I75" s="43"/>
      <c r="J75" s="43"/>
      <c r="K75" s="43"/>
      <c r="L75" s="43"/>
      <c r="M75" s="43"/>
      <c r="N75" s="43"/>
      <c r="O75" s="43"/>
      <c r="P75" s="43"/>
      <c r="Q75" s="43"/>
      <c r="R75" s="43"/>
      <c r="S75" s="43"/>
      <c r="T75" s="43"/>
      <c r="U75" s="43"/>
      <c r="V75" s="43"/>
      <c r="W75" s="43"/>
      <c r="X75" s="43"/>
      <c r="Y75" s="43"/>
      <c r="Z75" s="43"/>
      <c r="AA75" s="43"/>
      <c r="AB75" s="43"/>
      <c r="AC75" s="42">
        <f t="shared" si="7"/>
        <v>1031955</v>
      </c>
      <c r="AD75" s="16"/>
      <c r="AE75" s="66"/>
      <c r="AF75" s="91">
        <f>124086+55244.7+44251+76234+44251+44251+38355+47346.24+49686+38383.46+11048.23+45153+35304.93+51458.35+44416.85+39352.44+51678.01+53781.3+44170.62</f>
        <v>938452.13</v>
      </c>
      <c r="AG75" s="79">
        <f t="shared" si="2"/>
        <v>90.93924928897094</v>
      </c>
    </row>
    <row r="76" spans="1:33" ht="13.5">
      <c r="A76" s="9"/>
      <c r="B76" s="56" t="s">
        <v>36</v>
      </c>
      <c r="C76" s="42">
        <v>1002190</v>
      </c>
      <c r="D76" s="43"/>
      <c r="E76" s="43"/>
      <c r="F76" s="43"/>
      <c r="G76" s="43"/>
      <c r="H76" s="43"/>
      <c r="I76" s="43"/>
      <c r="J76" s="43"/>
      <c r="K76" s="43"/>
      <c r="L76" s="43"/>
      <c r="M76" s="43"/>
      <c r="N76" s="43"/>
      <c r="O76" s="43"/>
      <c r="P76" s="43"/>
      <c r="Q76" s="43"/>
      <c r="R76" s="43"/>
      <c r="S76" s="43"/>
      <c r="T76" s="43"/>
      <c r="U76" s="43"/>
      <c r="V76" s="43"/>
      <c r="W76" s="43"/>
      <c r="X76" s="43"/>
      <c r="Y76" s="43"/>
      <c r="Z76" s="43"/>
      <c r="AA76" s="43"/>
      <c r="AB76" s="43"/>
      <c r="AC76" s="42">
        <f t="shared" si="7"/>
        <v>1002190</v>
      </c>
      <c r="AD76" s="16"/>
      <c r="AE76" s="66"/>
      <c r="AF76" s="117">
        <f>165541.2+86398.21+87668.42+90307.93+90518.03+90297.32+90918.07+88215.01+90563.36+88315.06</f>
        <v>968742.6100000001</v>
      </c>
      <c r="AG76" s="79">
        <f t="shared" si="2"/>
        <v>96.66256997176184</v>
      </c>
    </row>
    <row r="77" spans="1:33" ht="13.5">
      <c r="A77" s="9" t="s">
        <v>115</v>
      </c>
      <c r="B77" s="55" t="s">
        <v>3</v>
      </c>
      <c r="C77" s="41">
        <f>SUM(C78:C82)</f>
        <v>7200846.1</v>
      </c>
      <c r="D77" s="41">
        <f aca="true" t="shared" si="8" ref="D77:AB77">SUM(D78:D82)</f>
        <v>0</v>
      </c>
      <c r="E77" s="41">
        <f t="shared" si="8"/>
        <v>0</v>
      </c>
      <c r="F77" s="41">
        <f t="shared" si="8"/>
        <v>0</v>
      </c>
      <c r="G77" s="41">
        <f t="shared" si="8"/>
        <v>0</v>
      </c>
      <c r="H77" s="41">
        <f t="shared" si="8"/>
        <v>0</v>
      </c>
      <c r="I77" s="41">
        <f t="shared" si="8"/>
        <v>0</v>
      </c>
      <c r="J77" s="41">
        <f t="shared" si="8"/>
        <v>0</v>
      </c>
      <c r="K77" s="41">
        <f t="shared" si="8"/>
        <v>0</v>
      </c>
      <c r="L77" s="41">
        <f t="shared" si="8"/>
        <v>0</v>
      </c>
      <c r="M77" s="41">
        <f t="shared" si="8"/>
        <v>0</v>
      </c>
      <c r="N77" s="41">
        <f t="shared" si="8"/>
        <v>0</v>
      </c>
      <c r="O77" s="41">
        <f t="shared" si="8"/>
        <v>0</v>
      </c>
      <c r="P77" s="41">
        <f t="shared" si="8"/>
        <v>0</v>
      </c>
      <c r="Q77" s="41">
        <f t="shared" si="8"/>
        <v>0</v>
      </c>
      <c r="R77" s="41">
        <f t="shared" si="8"/>
        <v>0</v>
      </c>
      <c r="S77" s="41">
        <f t="shared" si="8"/>
        <v>0</v>
      </c>
      <c r="T77" s="41">
        <f t="shared" si="8"/>
        <v>0</v>
      </c>
      <c r="U77" s="41">
        <f t="shared" si="8"/>
        <v>0</v>
      </c>
      <c r="V77" s="41">
        <f t="shared" si="8"/>
        <v>0</v>
      </c>
      <c r="W77" s="41">
        <f t="shared" si="8"/>
        <v>0</v>
      </c>
      <c r="X77" s="41">
        <f t="shared" si="8"/>
        <v>0</v>
      </c>
      <c r="Y77" s="41">
        <f t="shared" si="8"/>
        <v>0</v>
      </c>
      <c r="Z77" s="41">
        <f t="shared" si="8"/>
        <v>0</v>
      </c>
      <c r="AA77" s="41">
        <f t="shared" si="8"/>
        <v>0</v>
      </c>
      <c r="AB77" s="41">
        <f t="shared" si="8"/>
        <v>0</v>
      </c>
      <c r="AC77" s="41">
        <f t="shared" si="7"/>
        <v>7200846.1</v>
      </c>
      <c r="AD77" s="15"/>
      <c r="AE77" s="66"/>
      <c r="AF77" s="89">
        <f>SUM(AF78:AF82)</f>
        <v>6398807.03</v>
      </c>
      <c r="AG77" s="78">
        <f t="shared" si="2"/>
        <v>88.86187735632902</v>
      </c>
    </row>
    <row r="78" spans="1:33" ht="13.5">
      <c r="A78" s="9"/>
      <c r="B78" s="56" t="s">
        <v>37</v>
      </c>
      <c r="C78" s="42">
        <v>2402265.73</v>
      </c>
      <c r="D78" s="43"/>
      <c r="E78" s="43"/>
      <c r="F78" s="43"/>
      <c r="G78" s="43"/>
      <c r="H78" s="43"/>
      <c r="I78" s="43"/>
      <c r="J78" s="43"/>
      <c r="K78" s="43"/>
      <c r="L78" s="43"/>
      <c r="M78" s="43"/>
      <c r="N78" s="43"/>
      <c r="O78" s="43"/>
      <c r="P78" s="43"/>
      <c r="Q78" s="43"/>
      <c r="R78" s="43"/>
      <c r="S78" s="43"/>
      <c r="T78" s="43"/>
      <c r="U78" s="43"/>
      <c r="V78" s="43"/>
      <c r="W78" s="43"/>
      <c r="X78" s="43"/>
      <c r="Y78" s="43"/>
      <c r="Z78" s="43"/>
      <c r="AA78" s="43"/>
      <c r="AB78" s="43"/>
      <c r="AC78" s="42">
        <f t="shared" si="7"/>
        <v>2402265.73</v>
      </c>
      <c r="AD78" s="16"/>
      <c r="AE78" s="66"/>
      <c r="AF78" s="90">
        <f>195156+87000+174330+87000+260160+58000+70200+58000+139245.91+87000+121680+58000+430434</f>
        <v>1826205.91</v>
      </c>
      <c r="AG78" s="79">
        <f t="shared" si="2"/>
        <v>76.02014578129122</v>
      </c>
    </row>
    <row r="79" spans="1:33" ht="13.5">
      <c r="A79" s="9"/>
      <c r="B79" s="56" t="s">
        <v>4</v>
      </c>
      <c r="C79" s="42">
        <v>380000</v>
      </c>
      <c r="D79" s="43"/>
      <c r="E79" s="43"/>
      <c r="F79" s="43"/>
      <c r="G79" s="43"/>
      <c r="H79" s="43"/>
      <c r="I79" s="43"/>
      <c r="J79" s="43"/>
      <c r="K79" s="43"/>
      <c r="L79" s="43"/>
      <c r="M79" s="43"/>
      <c r="N79" s="43"/>
      <c r="O79" s="43"/>
      <c r="P79" s="43"/>
      <c r="Q79" s="43"/>
      <c r="R79" s="43"/>
      <c r="S79" s="43"/>
      <c r="T79" s="43"/>
      <c r="U79" s="43"/>
      <c r="V79" s="43"/>
      <c r="W79" s="43"/>
      <c r="X79" s="43"/>
      <c r="Y79" s="43"/>
      <c r="Z79" s="43"/>
      <c r="AA79" s="43"/>
      <c r="AB79" s="43"/>
      <c r="AC79" s="42">
        <f t="shared" si="7"/>
        <v>380000</v>
      </c>
      <c r="AD79" s="16"/>
      <c r="AE79" s="66"/>
      <c r="AF79" s="90">
        <f>135000+33750+27090+11457+172700</f>
        <v>379997</v>
      </c>
      <c r="AG79" s="79">
        <f t="shared" si="2"/>
        <v>99.99921052631578</v>
      </c>
    </row>
    <row r="80" spans="1:33" ht="13.5">
      <c r="A80" s="9"/>
      <c r="B80" s="56" t="s">
        <v>38</v>
      </c>
      <c r="C80" s="42">
        <v>200000</v>
      </c>
      <c r="D80" s="43"/>
      <c r="E80" s="43"/>
      <c r="F80" s="43"/>
      <c r="G80" s="43"/>
      <c r="H80" s="43"/>
      <c r="I80" s="43"/>
      <c r="J80" s="43"/>
      <c r="K80" s="43"/>
      <c r="L80" s="43"/>
      <c r="M80" s="43"/>
      <c r="N80" s="43"/>
      <c r="O80" s="43"/>
      <c r="P80" s="43"/>
      <c r="Q80" s="43"/>
      <c r="R80" s="43"/>
      <c r="S80" s="43"/>
      <c r="T80" s="43"/>
      <c r="U80" s="43"/>
      <c r="V80" s="43"/>
      <c r="W80" s="43"/>
      <c r="X80" s="43"/>
      <c r="Y80" s="43"/>
      <c r="Z80" s="43"/>
      <c r="AA80" s="43"/>
      <c r="AB80" s="43"/>
      <c r="AC80" s="42">
        <f t="shared" si="7"/>
        <v>200000</v>
      </c>
      <c r="AD80" s="16"/>
      <c r="AE80" s="66"/>
      <c r="AF80" s="90">
        <f>33207.3+33207.3+33207.3+33207.3+33207.3+33839.82</f>
        <v>199876.32</v>
      </c>
      <c r="AG80" s="79">
        <f t="shared" si="2"/>
        <v>99.93816</v>
      </c>
    </row>
    <row r="81" spans="1:33" ht="13.5">
      <c r="A81" s="9"/>
      <c r="B81" s="56" t="s">
        <v>39</v>
      </c>
      <c r="C81" s="42">
        <v>291480.84</v>
      </c>
      <c r="D81" s="43"/>
      <c r="E81" s="43"/>
      <c r="F81" s="43"/>
      <c r="G81" s="43"/>
      <c r="H81" s="43"/>
      <c r="I81" s="43"/>
      <c r="J81" s="43"/>
      <c r="K81" s="43"/>
      <c r="L81" s="43"/>
      <c r="M81" s="43"/>
      <c r="N81" s="43"/>
      <c r="O81" s="43"/>
      <c r="P81" s="43"/>
      <c r="Q81" s="43"/>
      <c r="R81" s="43"/>
      <c r="S81" s="43"/>
      <c r="T81" s="43"/>
      <c r="U81" s="43"/>
      <c r="V81" s="43"/>
      <c r="W81" s="43"/>
      <c r="X81" s="43"/>
      <c r="Y81" s="43"/>
      <c r="Z81" s="43"/>
      <c r="AA81" s="43"/>
      <c r="AB81" s="43"/>
      <c r="AC81" s="42">
        <f t="shared" si="7"/>
        <v>291480.84</v>
      </c>
      <c r="AD81" s="16"/>
      <c r="AE81" s="66"/>
      <c r="AF81" s="90">
        <f>45550+62000+60735+53619.08+69575</f>
        <v>291479.08</v>
      </c>
      <c r="AG81" s="79">
        <f aca="true" t="shared" si="9" ref="AG81:AG138">AF81/C81*100</f>
        <v>99.99939618672705</v>
      </c>
    </row>
    <row r="82" spans="1:33" ht="44.25" customHeight="1">
      <c r="A82" s="9"/>
      <c r="B82" s="56" t="s">
        <v>40</v>
      </c>
      <c r="C82" s="42">
        <v>3927099.53</v>
      </c>
      <c r="D82" s="43"/>
      <c r="E82" s="43"/>
      <c r="F82" s="43"/>
      <c r="G82" s="43"/>
      <c r="H82" s="43"/>
      <c r="I82" s="43"/>
      <c r="J82" s="43"/>
      <c r="K82" s="43"/>
      <c r="L82" s="43"/>
      <c r="M82" s="43"/>
      <c r="N82" s="43"/>
      <c r="O82" s="43"/>
      <c r="P82" s="43"/>
      <c r="Q82" s="43"/>
      <c r="R82" s="43"/>
      <c r="S82" s="43"/>
      <c r="T82" s="43"/>
      <c r="U82" s="43"/>
      <c r="V82" s="43"/>
      <c r="W82" s="43"/>
      <c r="X82" s="43"/>
      <c r="Y82" s="43"/>
      <c r="Z82" s="43"/>
      <c r="AA82" s="43"/>
      <c r="AB82" s="43"/>
      <c r="AC82" s="42">
        <f t="shared" si="7"/>
        <v>3927099.53</v>
      </c>
      <c r="AD82" s="16"/>
      <c r="AE82" s="66"/>
      <c r="AF82" s="91">
        <f>1017646.61+44880+126065.55+74837.4+57228.6+90245.1+212678.65+329120+256886.6+76800+92446.2+255516.22+121483.9+293790+233460+69813.89+348350</f>
        <v>3701248.72</v>
      </c>
      <c r="AG82" s="79">
        <f t="shared" si="9"/>
        <v>94.2489155603347</v>
      </c>
    </row>
    <row r="83" spans="1:33" ht="27.75">
      <c r="A83" s="9" t="s">
        <v>116</v>
      </c>
      <c r="B83" s="55" t="s">
        <v>5</v>
      </c>
      <c r="C83" s="41">
        <f>SUM(C84:C86)</f>
        <v>1849469.0899999999</v>
      </c>
      <c r="D83" s="41">
        <f aca="true" t="shared" si="10" ref="D83:AB83">SUM(D84:D86)</f>
        <v>0</v>
      </c>
      <c r="E83" s="41">
        <f t="shared" si="10"/>
        <v>0</v>
      </c>
      <c r="F83" s="41">
        <f t="shared" si="10"/>
        <v>0</v>
      </c>
      <c r="G83" s="41">
        <f t="shared" si="10"/>
        <v>0</v>
      </c>
      <c r="H83" s="41">
        <f t="shared" si="10"/>
        <v>0</v>
      </c>
      <c r="I83" s="41">
        <f t="shared" si="10"/>
        <v>0</v>
      </c>
      <c r="J83" s="41">
        <f t="shared" si="10"/>
        <v>0</v>
      </c>
      <c r="K83" s="41">
        <f t="shared" si="10"/>
        <v>0</v>
      </c>
      <c r="L83" s="41">
        <f t="shared" si="10"/>
        <v>0</v>
      </c>
      <c r="M83" s="41">
        <f t="shared" si="10"/>
        <v>0</v>
      </c>
      <c r="N83" s="41">
        <f t="shared" si="10"/>
        <v>0</v>
      </c>
      <c r="O83" s="41">
        <f t="shared" si="10"/>
        <v>0</v>
      </c>
      <c r="P83" s="41">
        <f t="shared" si="10"/>
        <v>0</v>
      </c>
      <c r="Q83" s="41">
        <f t="shared" si="10"/>
        <v>0</v>
      </c>
      <c r="R83" s="41">
        <f t="shared" si="10"/>
        <v>0</v>
      </c>
      <c r="S83" s="41">
        <f t="shared" si="10"/>
        <v>0</v>
      </c>
      <c r="T83" s="41">
        <f t="shared" si="10"/>
        <v>0</v>
      </c>
      <c r="U83" s="41">
        <f t="shared" si="10"/>
        <v>0</v>
      </c>
      <c r="V83" s="41">
        <f t="shared" si="10"/>
        <v>0</v>
      </c>
      <c r="W83" s="41">
        <f t="shared" si="10"/>
        <v>0</v>
      </c>
      <c r="X83" s="41">
        <f t="shared" si="10"/>
        <v>0</v>
      </c>
      <c r="Y83" s="41">
        <f t="shared" si="10"/>
        <v>0</v>
      </c>
      <c r="Z83" s="41">
        <f t="shared" si="10"/>
        <v>0</v>
      </c>
      <c r="AA83" s="41">
        <f t="shared" si="10"/>
        <v>0</v>
      </c>
      <c r="AB83" s="41">
        <f t="shared" si="10"/>
        <v>0</v>
      </c>
      <c r="AC83" s="41">
        <f t="shared" si="7"/>
        <v>1849469.0899999999</v>
      </c>
      <c r="AD83" s="15"/>
      <c r="AE83" s="66"/>
      <c r="AF83" s="89">
        <f>SUM(AF84:AF86)</f>
        <v>1512771.91</v>
      </c>
      <c r="AG83" s="78">
        <f t="shared" si="9"/>
        <v>81.79492797038311</v>
      </c>
    </row>
    <row r="84" spans="1:33" ht="13.5">
      <c r="A84" s="9"/>
      <c r="B84" s="56" t="s">
        <v>55</v>
      </c>
      <c r="C84" s="42">
        <v>1271166</v>
      </c>
      <c r="D84" s="43"/>
      <c r="E84" s="43"/>
      <c r="F84" s="43"/>
      <c r="G84" s="43"/>
      <c r="H84" s="43"/>
      <c r="I84" s="43"/>
      <c r="J84" s="43"/>
      <c r="K84" s="43"/>
      <c r="L84" s="43"/>
      <c r="M84" s="43"/>
      <c r="N84" s="43"/>
      <c r="O84" s="43"/>
      <c r="P84" s="43"/>
      <c r="Q84" s="43"/>
      <c r="R84" s="43"/>
      <c r="S84" s="43"/>
      <c r="T84" s="43"/>
      <c r="U84" s="43"/>
      <c r="V84" s="43"/>
      <c r="W84" s="43"/>
      <c r="X84" s="43"/>
      <c r="Y84" s="43"/>
      <c r="Z84" s="43"/>
      <c r="AA84" s="43"/>
      <c r="AB84" s="43"/>
      <c r="AC84" s="42">
        <f t="shared" si="7"/>
        <v>1271166</v>
      </c>
      <c r="AD84" s="16"/>
      <c r="AE84" s="66"/>
      <c r="AF84" s="90">
        <f>581281.86-183335.28+134873.07+214611.3+117069.05+196807.28+113166.31</f>
        <v>1174473.59</v>
      </c>
      <c r="AG84" s="79">
        <f t="shared" si="9"/>
        <v>92.39340809933557</v>
      </c>
    </row>
    <row r="85" spans="1:33" ht="13.5">
      <c r="A85" s="9"/>
      <c r="B85" s="56" t="s">
        <v>56</v>
      </c>
      <c r="C85" s="42">
        <v>157394.69</v>
      </c>
      <c r="D85" s="43"/>
      <c r="E85" s="43"/>
      <c r="F85" s="43"/>
      <c r="G85" s="43"/>
      <c r="H85" s="43"/>
      <c r="I85" s="43"/>
      <c r="J85" s="43"/>
      <c r="K85" s="43"/>
      <c r="L85" s="43"/>
      <c r="M85" s="43"/>
      <c r="N85" s="43"/>
      <c r="O85" s="43"/>
      <c r="P85" s="43"/>
      <c r="Q85" s="43"/>
      <c r="R85" s="43"/>
      <c r="S85" s="43"/>
      <c r="T85" s="43"/>
      <c r="U85" s="43"/>
      <c r="V85" s="43"/>
      <c r="W85" s="43"/>
      <c r="X85" s="43"/>
      <c r="Y85" s="43"/>
      <c r="Z85" s="43"/>
      <c r="AA85" s="43"/>
      <c r="AB85" s="43"/>
      <c r="AC85" s="42">
        <f t="shared" si="7"/>
        <v>157394.69</v>
      </c>
      <c r="AD85" s="16"/>
      <c r="AE85" s="66"/>
      <c r="AF85" s="90">
        <f>32355.65+32355.65+32355.65+38134.46</f>
        <v>135201.41</v>
      </c>
      <c r="AG85" s="79">
        <f t="shared" si="9"/>
        <v>85.89960055196272</v>
      </c>
    </row>
    <row r="86" spans="1:33" ht="13.5">
      <c r="A86" s="9"/>
      <c r="B86" s="56" t="s">
        <v>57</v>
      </c>
      <c r="C86" s="42">
        <v>420908.4</v>
      </c>
      <c r="D86" s="43"/>
      <c r="E86" s="43"/>
      <c r="F86" s="43"/>
      <c r="G86" s="43"/>
      <c r="H86" s="43"/>
      <c r="I86" s="43"/>
      <c r="J86" s="43"/>
      <c r="K86" s="43"/>
      <c r="L86" s="43"/>
      <c r="M86" s="43"/>
      <c r="N86" s="43"/>
      <c r="O86" s="43"/>
      <c r="P86" s="43"/>
      <c r="Q86" s="43"/>
      <c r="R86" s="43"/>
      <c r="S86" s="43"/>
      <c r="T86" s="43"/>
      <c r="U86" s="43"/>
      <c r="V86" s="43"/>
      <c r="W86" s="43"/>
      <c r="X86" s="43"/>
      <c r="Y86" s="43"/>
      <c r="Z86" s="43"/>
      <c r="AA86" s="43"/>
      <c r="AB86" s="43"/>
      <c r="AC86" s="42">
        <f t="shared" si="7"/>
        <v>420908.4</v>
      </c>
      <c r="AD86" s="16"/>
      <c r="AE86" s="66"/>
      <c r="AF86" s="90">
        <f>31498.87+32966.8+33642.28+34360.05+33352.59+37276.32</f>
        <v>203096.91</v>
      </c>
      <c r="AG86" s="79">
        <f t="shared" si="9"/>
        <v>48.25204486296781</v>
      </c>
    </row>
    <row r="87" spans="1:33" ht="13.5">
      <c r="A87" s="9" t="s">
        <v>117</v>
      </c>
      <c r="B87" s="55" t="s">
        <v>41</v>
      </c>
      <c r="C87" s="41">
        <f>SUM(C88:C93)</f>
        <v>3528133.06</v>
      </c>
      <c r="D87" s="41">
        <f aca="true" t="shared" si="11" ref="D87:AB87">SUM(D88:D93)</f>
        <v>0</v>
      </c>
      <c r="E87" s="41">
        <f t="shared" si="11"/>
        <v>0</v>
      </c>
      <c r="F87" s="41">
        <f t="shared" si="11"/>
        <v>0</v>
      </c>
      <c r="G87" s="41">
        <f t="shared" si="11"/>
        <v>0</v>
      </c>
      <c r="H87" s="41">
        <f t="shared" si="11"/>
        <v>0</v>
      </c>
      <c r="I87" s="41">
        <f t="shared" si="11"/>
        <v>0</v>
      </c>
      <c r="J87" s="41">
        <f t="shared" si="11"/>
        <v>0</v>
      </c>
      <c r="K87" s="41">
        <f t="shared" si="11"/>
        <v>0</v>
      </c>
      <c r="L87" s="41">
        <f t="shared" si="11"/>
        <v>0</v>
      </c>
      <c r="M87" s="41">
        <f t="shared" si="11"/>
        <v>0</v>
      </c>
      <c r="N87" s="41">
        <f t="shared" si="11"/>
        <v>0</v>
      </c>
      <c r="O87" s="41">
        <f t="shared" si="11"/>
        <v>0</v>
      </c>
      <c r="P87" s="41">
        <f t="shared" si="11"/>
        <v>0</v>
      </c>
      <c r="Q87" s="41">
        <f t="shared" si="11"/>
        <v>0</v>
      </c>
      <c r="R87" s="41">
        <f t="shared" si="11"/>
        <v>0</v>
      </c>
      <c r="S87" s="41">
        <f t="shared" si="11"/>
        <v>0</v>
      </c>
      <c r="T87" s="41">
        <f t="shared" si="11"/>
        <v>0</v>
      </c>
      <c r="U87" s="41">
        <f t="shared" si="11"/>
        <v>0</v>
      </c>
      <c r="V87" s="41">
        <f t="shared" si="11"/>
        <v>0</v>
      </c>
      <c r="W87" s="41">
        <f t="shared" si="11"/>
        <v>0</v>
      </c>
      <c r="X87" s="41">
        <f t="shared" si="11"/>
        <v>0</v>
      </c>
      <c r="Y87" s="41">
        <f t="shared" si="11"/>
        <v>0</v>
      </c>
      <c r="Z87" s="41">
        <f t="shared" si="11"/>
        <v>0</v>
      </c>
      <c r="AA87" s="41">
        <f t="shared" si="11"/>
        <v>0</v>
      </c>
      <c r="AB87" s="41">
        <f t="shared" si="11"/>
        <v>0</v>
      </c>
      <c r="AC87" s="41">
        <f t="shared" si="7"/>
        <v>3528133.06</v>
      </c>
      <c r="AD87" s="15"/>
      <c r="AE87" s="66"/>
      <c r="AF87" s="89">
        <f>SUM(AF88:AF93)</f>
        <v>2863426.96</v>
      </c>
      <c r="AG87" s="77">
        <f t="shared" si="9"/>
        <v>81.15983471439708</v>
      </c>
    </row>
    <row r="88" spans="1:33" ht="27.75" customHeight="1">
      <c r="A88" s="9"/>
      <c r="B88" s="56" t="s">
        <v>8</v>
      </c>
      <c r="C88" s="42">
        <v>2415287.11</v>
      </c>
      <c r="D88" s="43"/>
      <c r="E88" s="43"/>
      <c r="F88" s="43"/>
      <c r="G88" s="43"/>
      <c r="H88" s="43"/>
      <c r="I88" s="43"/>
      <c r="J88" s="43"/>
      <c r="K88" s="43"/>
      <c r="L88" s="43"/>
      <c r="M88" s="43"/>
      <c r="N88" s="43"/>
      <c r="O88" s="43"/>
      <c r="P88" s="43"/>
      <c r="Q88" s="43"/>
      <c r="R88" s="43"/>
      <c r="S88" s="43"/>
      <c r="T88" s="43"/>
      <c r="U88" s="43"/>
      <c r="V88" s="43"/>
      <c r="W88" s="43"/>
      <c r="X88" s="43"/>
      <c r="Y88" s="43"/>
      <c r="Z88" s="43"/>
      <c r="AA88" s="43"/>
      <c r="AB88" s="43"/>
      <c r="AC88" s="42">
        <f t="shared" si="7"/>
        <v>2415287.11</v>
      </c>
      <c r="AD88" s="16"/>
      <c r="AE88" s="66"/>
      <c r="AF88" s="116">
        <f>1817091.18+2152.4+111090+12561.5+64077.04</f>
        <v>2006972.1199999999</v>
      </c>
      <c r="AG88" s="79">
        <f t="shared" si="9"/>
        <v>83.09455682061748</v>
      </c>
    </row>
    <row r="89" spans="1:33" ht="46.5" customHeight="1">
      <c r="A89" s="9"/>
      <c r="B89" s="56" t="s">
        <v>9</v>
      </c>
      <c r="C89" s="42">
        <f>781200+180067</f>
        <v>961267</v>
      </c>
      <c r="D89" s="43"/>
      <c r="E89" s="43"/>
      <c r="F89" s="43"/>
      <c r="G89" s="43"/>
      <c r="H89" s="43"/>
      <c r="I89" s="43"/>
      <c r="J89" s="43"/>
      <c r="K89" s="43"/>
      <c r="L89" s="43"/>
      <c r="M89" s="43"/>
      <c r="N89" s="43"/>
      <c r="O89" s="43"/>
      <c r="P89" s="43"/>
      <c r="Q89" s="43"/>
      <c r="R89" s="43"/>
      <c r="S89" s="43"/>
      <c r="T89" s="43"/>
      <c r="U89" s="43"/>
      <c r="V89" s="43"/>
      <c r="W89" s="43"/>
      <c r="X89" s="43"/>
      <c r="Y89" s="43"/>
      <c r="Z89" s="43"/>
      <c r="AA89" s="43"/>
      <c r="AB89" s="43"/>
      <c r="AC89" s="42">
        <f t="shared" si="7"/>
        <v>961267</v>
      </c>
      <c r="AD89" s="16"/>
      <c r="AE89" s="66"/>
      <c r="AF89" s="91">
        <f>129802.78+45117.28+9925.9+16132.5+3549.15+50156.48+11034.42+6420+19681.65+42614.5+9375.19+7351.6+8800+22346.5+4916.23+3005.6+40594.85+8930.87+26290+5783.8+42618.43+9398.54+20315+4469.3+39444.64+8671.01+25095+5520.9+41467.49+9129.67+26887.5+5915.25+32080.88+7139.3+2962.83+29886.95</f>
        <v>782831.99</v>
      </c>
      <c r="AG89" s="79">
        <f t="shared" si="9"/>
        <v>81.43751840019475</v>
      </c>
    </row>
    <row r="90" spans="1:33" ht="33.75" customHeight="1">
      <c r="A90" s="9"/>
      <c r="B90" s="56" t="s">
        <v>169</v>
      </c>
      <c r="C90" s="42">
        <v>35000</v>
      </c>
      <c r="D90" s="43"/>
      <c r="E90" s="43"/>
      <c r="F90" s="43"/>
      <c r="G90" s="43"/>
      <c r="H90" s="43"/>
      <c r="I90" s="43"/>
      <c r="J90" s="43"/>
      <c r="K90" s="43"/>
      <c r="L90" s="43"/>
      <c r="M90" s="43"/>
      <c r="N90" s="43"/>
      <c r="O90" s="43"/>
      <c r="P90" s="43"/>
      <c r="Q90" s="43"/>
      <c r="R90" s="43"/>
      <c r="S90" s="43"/>
      <c r="T90" s="43"/>
      <c r="U90" s="43"/>
      <c r="V90" s="43"/>
      <c r="W90" s="43"/>
      <c r="X90" s="43"/>
      <c r="Y90" s="43"/>
      <c r="Z90" s="43"/>
      <c r="AA90" s="43"/>
      <c r="AB90" s="43"/>
      <c r="AC90" s="42">
        <f t="shared" si="7"/>
        <v>35000</v>
      </c>
      <c r="AD90" s="16"/>
      <c r="AE90" s="66"/>
      <c r="AF90" s="91">
        <v>34981</v>
      </c>
      <c r="AG90" s="79">
        <f t="shared" si="9"/>
        <v>99.94571428571429</v>
      </c>
    </row>
    <row r="91" spans="1:33" ht="24.75" customHeight="1">
      <c r="A91" s="9"/>
      <c r="B91" s="56" t="s">
        <v>170</v>
      </c>
      <c r="C91" s="42">
        <v>44778.95</v>
      </c>
      <c r="D91" s="43"/>
      <c r="E91" s="43"/>
      <c r="F91" s="43"/>
      <c r="G91" s="43"/>
      <c r="H91" s="43"/>
      <c r="I91" s="43"/>
      <c r="J91" s="43"/>
      <c r="K91" s="43"/>
      <c r="L91" s="43"/>
      <c r="M91" s="43"/>
      <c r="N91" s="43"/>
      <c r="O91" s="43"/>
      <c r="P91" s="43"/>
      <c r="Q91" s="43"/>
      <c r="R91" s="43"/>
      <c r="S91" s="43"/>
      <c r="T91" s="43"/>
      <c r="U91" s="43"/>
      <c r="V91" s="43"/>
      <c r="W91" s="43"/>
      <c r="X91" s="43"/>
      <c r="Y91" s="43"/>
      <c r="Z91" s="43"/>
      <c r="AA91" s="43"/>
      <c r="AB91" s="43"/>
      <c r="AC91" s="42">
        <f t="shared" si="7"/>
        <v>44778.95</v>
      </c>
      <c r="AD91" s="16"/>
      <c r="AE91" s="66"/>
      <c r="AF91" s="91"/>
      <c r="AG91" s="79">
        <f t="shared" si="9"/>
        <v>0</v>
      </c>
    </row>
    <row r="92" spans="1:33" ht="13.5">
      <c r="A92" s="9"/>
      <c r="B92" s="56" t="s">
        <v>58</v>
      </c>
      <c r="C92" s="42">
        <v>39700</v>
      </c>
      <c r="D92" s="43"/>
      <c r="E92" s="43"/>
      <c r="F92" s="43"/>
      <c r="G92" s="43"/>
      <c r="H92" s="43"/>
      <c r="I92" s="43"/>
      <c r="J92" s="43"/>
      <c r="K92" s="43"/>
      <c r="L92" s="43"/>
      <c r="M92" s="43"/>
      <c r="N92" s="43"/>
      <c r="O92" s="43"/>
      <c r="P92" s="43"/>
      <c r="Q92" s="43"/>
      <c r="R92" s="43"/>
      <c r="S92" s="43"/>
      <c r="T92" s="43"/>
      <c r="U92" s="43"/>
      <c r="V92" s="43"/>
      <c r="W92" s="43"/>
      <c r="X92" s="43"/>
      <c r="Y92" s="43"/>
      <c r="Z92" s="43"/>
      <c r="AA92" s="43"/>
      <c r="AB92" s="43"/>
      <c r="AC92" s="42">
        <f t="shared" si="7"/>
        <v>39700</v>
      </c>
      <c r="AD92" s="16"/>
      <c r="AE92" s="66"/>
      <c r="AF92" s="90">
        <f>7534.82+5001.66+5251.05+4496.36+3259.78+4952.46+857.47</f>
        <v>31353.6</v>
      </c>
      <c r="AG92" s="79">
        <f t="shared" si="9"/>
        <v>78.97632241813601</v>
      </c>
    </row>
    <row r="93" spans="1:33" ht="13.5">
      <c r="A93" s="9"/>
      <c r="B93" s="56" t="s">
        <v>59</v>
      </c>
      <c r="C93" s="42">
        <v>32100</v>
      </c>
      <c r="D93" s="43"/>
      <c r="E93" s="43"/>
      <c r="F93" s="43"/>
      <c r="G93" s="43"/>
      <c r="H93" s="43"/>
      <c r="I93" s="43"/>
      <c r="J93" s="43"/>
      <c r="K93" s="43"/>
      <c r="L93" s="43"/>
      <c r="M93" s="43"/>
      <c r="N93" s="43"/>
      <c r="O93" s="43"/>
      <c r="P93" s="43"/>
      <c r="Q93" s="43"/>
      <c r="R93" s="43"/>
      <c r="S93" s="43"/>
      <c r="T93" s="43"/>
      <c r="U93" s="43"/>
      <c r="V93" s="43"/>
      <c r="W93" s="43"/>
      <c r="X93" s="43"/>
      <c r="Y93" s="43"/>
      <c r="Z93" s="43"/>
      <c r="AA93" s="43"/>
      <c r="AB93" s="43"/>
      <c r="AC93" s="42">
        <f t="shared" si="7"/>
        <v>32100</v>
      </c>
      <c r="AD93" s="33"/>
      <c r="AE93" s="67"/>
      <c r="AF93" s="90">
        <f>1230.14+830.15+486.74+512.5+803.51+898.5+1040.49+756.49+729.73</f>
        <v>7288.25</v>
      </c>
      <c r="AG93" s="79">
        <f t="shared" si="9"/>
        <v>22.70482866043614</v>
      </c>
    </row>
    <row r="94" spans="1:33" ht="13.5">
      <c r="A94" s="9" t="s">
        <v>118</v>
      </c>
      <c r="B94" s="55" t="s">
        <v>6</v>
      </c>
      <c r="C94" s="41">
        <f>AC94+AD94</f>
        <v>5100000</v>
      </c>
      <c r="D94" s="41">
        <f aca="true" t="shared" si="12" ref="D94:AB94">SUM(D95:D101)</f>
        <v>0</v>
      </c>
      <c r="E94" s="41">
        <f t="shared" si="12"/>
        <v>0</v>
      </c>
      <c r="F94" s="41">
        <f t="shared" si="12"/>
        <v>0</v>
      </c>
      <c r="G94" s="41">
        <f t="shared" si="12"/>
        <v>0</v>
      </c>
      <c r="H94" s="41">
        <f t="shared" si="12"/>
        <v>0</v>
      </c>
      <c r="I94" s="41">
        <f t="shared" si="12"/>
        <v>0</v>
      </c>
      <c r="J94" s="41">
        <f t="shared" si="12"/>
        <v>0</v>
      </c>
      <c r="K94" s="41">
        <f t="shared" si="12"/>
        <v>0</v>
      </c>
      <c r="L94" s="41">
        <f t="shared" si="12"/>
        <v>0</v>
      </c>
      <c r="M94" s="41">
        <f t="shared" si="12"/>
        <v>0</v>
      </c>
      <c r="N94" s="41">
        <f t="shared" si="12"/>
        <v>0</v>
      </c>
      <c r="O94" s="41">
        <f t="shared" si="12"/>
        <v>0</v>
      </c>
      <c r="P94" s="41">
        <f t="shared" si="12"/>
        <v>0</v>
      </c>
      <c r="Q94" s="41">
        <f t="shared" si="12"/>
        <v>0</v>
      </c>
      <c r="R94" s="41">
        <f t="shared" si="12"/>
        <v>0</v>
      </c>
      <c r="S94" s="41">
        <f t="shared" si="12"/>
        <v>0</v>
      </c>
      <c r="T94" s="41">
        <f t="shared" si="12"/>
        <v>0</v>
      </c>
      <c r="U94" s="41">
        <f t="shared" si="12"/>
        <v>0</v>
      </c>
      <c r="V94" s="41">
        <f t="shared" si="12"/>
        <v>0</v>
      </c>
      <c r="W94" s="41">
        <f t="shared" si="12"/>
        <v>0</v>
      </c>
      <c r="X94" s="41">
        <f t="shared" si="12"/>
        <v>0</v>
      </c>
      <c r="Y94" s="41">
        <f t="shared" si="12"/>
        <v>0</v>
      </c>
      <c r="Z94" s="41">
        <f t="shared" si="12"/>
        <v>0</v>
      </c>
      <c r="AA94" s="41">
        <f t="shared" si="12"/>
        <v>0</v>
      </c>
      <c r="AB94" s="41">
        <f t="shared" si="12"/>
        <v>0</v>
      </c>
      <c r="AC94" s="41">
        <f>AC95+AC96+AC97+AC98+AC102</f>
        <v>3600000</v>
      </c>
      <c r="AD94" s="35">
        <f>AD95+AD96+AD97+AD98</f>
        <v>1500000</v>
      </c>
      <c r="AE94" s="68">
        <f>AD94</f>
        <v>1500000</v>
      </c>
      <c r="AF94" s="89">
        <f>AF98+AF97+AF96</f>
        <v>2579611.2</v>
      </c>
      <c r="AG94" s="78">
        <f t="shared" si="9"/>
        <v>50.580611764705885</v>
      </c>
    </row>
    <row r="95" spans="1:33" ht="13.5" hidden="1">
      <c r="A95" s="9"/>
      <c r="B95" s="56" t="s">
        <v>10</v>
      </c>
      <c r="C95" s="42">
        <f>19422023.54+229670.1-19000000-651693.64</f>
        <v>0</v>
      </c>
      <c r="D95" s="43"/>
      <c r="E95" s="43"/>
      <c r="F95" s="43"/>
      <c r="G95" s="43"/>
      <c r="H95" s="43"/>
      <c r="I95" s="43"/>
      <c r="J95" s="43"/>
      <c r="K95" s="43"/>
      <c r="L95" s="43"/>
      <c r="M95" s="43"/>
      <c r="N95" s="43"/>
      <c r="O95" s="43"/>
      <c r="P95" s="43"/>
      <c r="Q95" s="43"/>
      <c r="R95" s="43"/>
      <c r="S95" s="43"/>
      <c r="T95" s="43"/>
      <c r="U95" s="43"/>
      <c r="V95" s="43"/>
      <c r="W95" s="43"/>
      <c r="X95" s="43"/>
      <c r="Y95" s="43"/>
      <c r="Z95" s="43"/>
      <c r="AA95" s="43"/>
      <c r="AB95" s="43"/>
      <c r="AC95" s="42">
        <f t="shared" si="7"/>
        <v>0</v>
      </c>
      <c r="AD95" s="33"/>
      <c r="AE95" s="69"/>
      <c r="AF95" s="90"/>
      <c r="AG95" s="79" t="e">
        <f t="shared" si="9"/>
        <v>#DIV/0!</v>
      </c>
    </row>
    <row r="96" spans="1:33" ht="13.5">
      <c r="A96" s="9"/>
      <c r="B96" s="56" t="s">
        <v>7</v>
      </c>
      <c r="C96" s="42">
        <v>1000000</v>
      </c>
      <c r="D96" s="43"/>
      <c r="E96" s="43"/>
      <c r="F96" s="43"/>
      <c r="G96" s="43"/>
      <c r="H96" s="43"/>
      <c r="I96" s="43"/>
      <c r="J96" s="43"/>
      <c r="K96" s="43"/>
      <c r="L96" s="43"/>
      <c r="M96" s="43"/>
      <c r="N96" s="43"/>
      <c r="O96" s="43"/>
      <c r="P96" s="43"/>
      <c r="Q96" s="43"/>
      <c r="R96" s="43"/>
      <c r="S96" s="43"/>
      <c r="T96" s="43"/>
      <c r="U96" s="43"/>
      <c r="V96" s="43"/>
      <c r="W96" s="43"/>
      <c r="X96" s="43"/>
      <c r="Y96" s="43"/>
      <c r="Z96" s="43"/>
      <c r="AA96" s="43"/>
      <c r="AB96" s="43"/>
      <c r="AC96" s="42">
        <f>C96</f>
        <v>1000000</v>
      </c>
      <c r="AD96" s="33"/>
      <c r="AE96" s="69"/>
      <c r="AF96" s="90">
        <v>983400</v>
      </c>
      <c r="AG96" s="79">
        <f t="shared" si="9"/>
        <v>98.34</v>
      </c>
    </row>
    <row r="97" spans="1:33" ht="13.5">
      <c r="A97" s="9"/>
      <c r="B97" s="57" t="s">
        <v>111</v>
      </c>
      <c r="C97" s="42">
        <f>AD97</f>
        <v>1500000</v>
      </c>
      <c r="D97" s="43"/>
      <c r="E97" s="43"/>
      <c r="F97" s="43"/>
      <c r="G97" s="43"/>
      <c r="H97" s="43"/>
      <c r="I97" s="43"/>
      <c r="J97" s="43"/>
      <c r="K97" s="43"/>
      <c r="L97" s="43"/>
      <c r="M97" s="43"/>
      <c r="N97" s="43"/>
      <c r="O97" s="43"/>
      <c r="P97" s="43"/>
      <c r="Q97" s="43"/>
      <c r="R97" s="43"/>
      <c r="S97" s="43"/>
      <c r="T97" s="43"/>
      <c r="U97" s="43"/>
      <c r="V97" s="43"/>
      <c r="W97" s="43"/>
      <c r="X97" s="43"/>
      <c r="Y97" s="43"/>
      <c r="Z97" s="43"/>
      <c r="AA97" s="43"/>
      <c r="AB97" s="43"/>
      <c r="AC97" s="42"/>
      <c r="AD97" s="44">
        <v>1500000</v>
      </c>
      <c r="AE97" s="70">
        <f>AD97</f>
        <v>1500000</v>
      </c>
      <c r="AF97" s="90">
        <v>1496484</v>
      </c>
      <c r="AG97" s="79">
        <f t="shared" si="9"/>
        <v>99.76559999999999</v>
      </c>
    </row>
    <row r="98" spans="1:33" ht="18" customHeight="1">
      <c r="A98" s="9"/>
      <c r="B98" s="58" t="s">
        <v>128</v>
      </c>
      <c r="C98" s="42">
        <f>AC98</f>
        <v>100000</v>
      </c>
      <c r="D98" s="43"/>
      <c r="E98" s="43"/>
      <c r="F98" s="43"/>
      <c r="G98" s="43"/>
      <c r="H98" s="43"/>
      <c r="I98" s="43"/>
      <c r="J98" s="43"/>
      <c r="K98" s="43"/>
      <c r="L98" s="43"/>
      <c r="M98" s="43"/>
      <c r="N98" s="43"/>
      <c r="O98" s="43"/>
      <c r="P98" s="43"/>
      <c r="Q98" s="43"/>
      <c r="R98" s="43"/>
      <c r="S98" s="43"/>
      <c r="T98" s="43"/>
      <c r="U98" s="43"/>
      <c r="V98" s="43"/>
      <c r="W98" s="43"/>
      <c r="X98" s="43"/>
      <c r="Y98" s="43"/>
      <c r="Z98" s="43"/>
      <c r="AA98" s="43"/>
      <c r="AB98" s="43"/>
      <c r="AC98" s="42">
        <v>100000</v>
      </c>
      <c r="AD98" s="33"/>
      <c r="AE98" s="69"/>
      <c r="AF98" s="90">
        <v>99727.2</v>
      </c>
      <c r="AG98" s="79">
        <f t="shared" si="9"/>
        <v>99.7272</v>
      </c>
    </row>
    <row r="99" spans="1:33" ht="13.5" customHeight="1" hidden="1">
      <c r="A99" s="9"/>
      <c r="B99" s="57"/>
      <c r="C99" s="42">
        <f>AC99</f>
        <v>0</v>
      </c>
      <c r="D99" s="43"/>
      <c r="E99" s="43"/>
      <c r="F99" s="43"/>
      <c r="G99" s="43"/>
      <c r="H99" s="43"/>
      <c r="I99" s="43"/>
      <c r="J99" s="43"/>
      <c r="K99" s="43"/>
      <c r="L99" s="43"/>
      <c r="M99" s="43"/>
      <c r="N99" s="43"/>
      <c r="O99" s="43"/>
      <c r="P99" s="43"/>
      <c r="Q99" s="43"/>
      <c r="R99" s="43"/>
      <c r="S99" s="43"/>
      <c r="T99" s="43"/>
      <c r="U99" s="43"/>
      <c r="V99" s="43"/>
      <c r="W99" s="43"/>
      <c r="X99" s="43"/>
      <c r="Y99" s="43"/>
      <c r="Z99" s="43"/>
      <c r="AA99" s="43"/>
      <c r="AB99" s="43"/>
      <c r="AC99" s="42"/>
      <c r="AD99" s="44"/>
      <c r="AE99" s="70"/>
      <c r="AF99" s="92"/>
      <c r="AG99" s="79" t="e">
        <f t="shared" si="9"/>
        <v>#DIV/0!</v>
      </c>
    </row>
    <row r="100" spans="1:33" ht="14.25" customHeight="1" hidden="1" thickBot="1">
      <c r="A100" s="9"/>
      <c r="B100" s="56"/>
      <c r="C100" s="42">
        <f>AC100</f>
        <v>100000</v>
      </c>
      <c r="D100" s="39"/>
      <c r="E100" s="39"/>
      <c r="F100" s="39"/>
      <c r="G100" s="39"/>
      <c r="H100" s="39"/>
      <c r="I100" s="39"/>
      <c r="J100" s="39"/>
      <c r="K100" s="39"/>
      <c r="L100" s="39"/>
      <c r="M100" s="39"/>
      <c r="N100" s="39"/>
      <c r="O100" s="39"/>
      <c r="P100" s="39"/>
      <c r="Q100" s="39"/>
      <c r="R100" s="39"/>
      <c r="S100" s="39"/>
      <c r="T100" s="39"/>
      <c r="U100" s="39"/>
      <c r="V100" s="39"/>
      <c r="W100" s="39"/>
      <c r="X100" s="39"/>
      <c r="Y100" s="39"/>
      <c r="Z100" s="39"/>
      <c r="AA100" s="39"/>
      <c r="AB100" s="39"/>
      <c r="AC100" s="41">
        <f t="shared" si="7"/>
        <v>0</v>
      </c>
      <c r="AD100" s="45"/>
      <c r="AE100" s="67"/>
      <c r="AF100" s="92"/>
      <c r="AG100" s="79">
        <f t="shared" si="9"/>
        <v>99.7272</v>
      </c>
    </row>
    <row r="101" spans="1:33" ht="13.5" customHeight="1" hidden="1">
      <c r="A101" s="9"/>
      <c r="B101" s="56"/>
      <c r="C101" s="42">
        <f>AC101</f>
        <v>100000</v>
      </c>
      <c r="D101" s="39"/>
      <c r="E101" s="39"/>
      <c r="F101" s="39"/>
      <c r="G101" s="39"/>
      <c r="H101" s="39"/>
      <c r="I101" s="39"/>
      <c r="J101" s="39"/>
      <c r="K101" s="39"/>
      <c r="L101" s="39"/>
      <c r="M101" s="39"/>
      <c r="N101" s="39"/>
      <c r="O101" s="39"/>
      <c r="P101" s="39"/>
      <c r="Q101" s="39"/>
      <c r="R101" s="39"/>
      <c r="S101" s="39"/>
      <c r="T101" s="39"/>
      <c r="U101" s="39"/>
      <c r="V101" s="39"/>
      <c r="W101" s="39"/>
      <c r="X101" s="39"/>
      <c r="Y101" s="39"/>
      <c r="Z101" s="39"/>
      <c r="AA101" s="39"/>
      <c r="AB101" s="39"/>
      <c r="AC101" s="41">
        <f t="shared" si="7"/>
        <v>0</v>
      </c>
      <c r="AD101" s="45"/>
      <c r="AE101" s="67"/>
      <c r="AF101" s="92"/>
      <c r="AG101" s="79">
        <f t="shared" si="9"/>
        <v>99.7272</v>
      </c>
    </row>
    <row r="102" spans="1:33" ht="13.5" customHeight="1">
      <c r="A102" s="9"/>
      <c r="B102" s="56" t="s">
        <v>208</v>
      </c>
      <c r="C102" s="42">
        <f>AC102</f>
        <v>2500000</v>
      </c>
      <c r="D102" s="39"/>
      <c r="E102" s="39"/>
      <c r="F102" s="39"/>
      <c r="G102" s="39"/>
      <c r="H102" s="39"/>
      <c r="I102" s="39"/>
      <c r="J102" s="39"/>
      <c r="K102" s="39"/>
      <c r="L102" s="39"/>
      <c r="M102" s="39"/>
      <c r="N102" s="39"/>
      <c r="O102" s="39"/>
      <c r="P102" s="39"/>
      <c r="Q102" s="39"/>
      <c r="R102" s="39"/>
      <c r="S102" s="39"/>
      <c r="T102" s="39"/>
      <c r="U102" s="39"/>
      <c r="V102" s="39"/>
      <c r="W102" s="39"/>
      <c r="X102" s="39"/>
      <c r="Y102" s="39"/>
      <c r="Z102" s="39"/>
      <c r="AA102" s="39"/>
      <c r="AB102" s="39"/>
      <c r="AC102" s="42">
        <v>2500000</v>
      </c>
      <c r="AD102" s="45"/>
      <c r="AE102" s="67"/>
      <c r="AF102" s="92"/>
      <c r="AG102" s="79">
        <f t="shared" si="9"/>
        <v>0</v>
      </c>
    </row>
    <row r="103" spans="1:33" ht="29.25" customHeight="1">
      <c r="A103" s="9" t="s">
        <v>119</v>
      </c>
      <c r="B103" s="55" t="s">
        <v>163</v>
      </c>
      <c r="C103" s="41">
        <f>SUM(C104:C105)</f>
        <v>331841.32</v>
      </c>
      <c r="D103" s="41">
        <f aca="true" t="shared" si="13" ref="D103:AB103">SUM(D104:D105)</f>
        <v>0</v>
      </c>
      <c r="E103" s="41">
        <f t="shared" si="13"/>
        <v>0</v>
      </c>
      <c r="F103" s="41">
        <f t="shared" si="13"/>
        <v>0</v>
      </c>
      <c r="G103" s="41">
        <f t="shared" si="13"/>
        <v>0</v>
      </c>
      <c r="H103" s="41">
        <f t="shared" si="13"/>
        <v>0</v>
      </c>
      <c r="I103" s="41">
        <f t="shared" si="13"/>
        <v>0</v>
      </c>
      <c r="J103" s="41">
        <f t="shared" si="13"/>
        <v>0</v>
      </c>
      <c r="K103" s="41">
        <f t="shared" si="13"/>
        <v>0</v>
      </c>
      <c r="L103" s="41">
        <f t="shared" si="13"/>
        <v>0</v>
      </c>
      <c r="M103" s="41">
        <f t="shared" si="13"/>
        <v>0</v>
      </c>
      <c r="N103" s="41">
        <f t="shared" si="13"/>
        <v>0</v>
      </c>
      <c r="O103" s="41">
        <f t="shared" si="13"/>
        <v>0</v>
      </c>
      <c r="P103" s="41">
        <f t="shared" si="13"/>
        <v>0</v>
      </c>
      <c r="Q103" s="41">
        <f t="shared" si="13"/>
        <v>0</v>
      </c>
      <c r="R103" s="41">
        <f t="shared" si="13"/>
        <v>0</v>
      </c>
      <c r="S103" s="41">
        <f t="shared" si="13"/>
        <v>0</v>
      </c>
      <c r="T103" s="41">
        <f t="shared" si="13"/>
        <v>0</v>
      </c>
      <c r="U103" s="41">
        <f t="shared" si="13"/>
        <v>0</v>
      </c>
      <c r="V103" s="41">
        <f t="shared" si="13"/>
        <v>0</v>
      </c>
      <c r="W103" s="41">
        <f t="shared" si="13"/>
        <v>0</v>
      </c>
      <c r="X103" s="41">
        <f t="shared" si="13"/>
        <v>0</v>
      </c>
      <c r="Y103" s="41">
        <f t="shared" si="13"/>
        <v>0</v>
      </c>
      <c r="Z103" s="41">
        <f t="shared" si="13"/>
        <v>0</v>
      </c>
      <c r="AA103" s="41">
        <f t="shared" si="13"/>
        <v>0</v>
      </c>
      <c r="AB103" s="41">
        <f t="shared" si="13"/>
        <v>0</v>
      </c>
      <c r="AC103" s="41">
        <f t="shared" si="7"/>
        <v>331841.32</v>
      </c>
      <c r="AD103" s="46"/>
      <c r="AE103" s="67"/>
      <c r="AF103" s="89">
        <f>SUM(AF104:AF105)</f>
        <v>331841.31</v>
      </c>
      <c r="AG103" s="79">
        <f t="shared" si="9"/>
        <v>99.99999698651149</v>
      </c>
    </row>
    <row r="104" spans="1:33" ht="13.5">
      <c r="A104" s="9"/>
      <c r="B104" s="56" t="s">
        <v>11</v>
      </c>
      <c r="C104" s="42">
        <v>250041.32</v>
      </c>
      <c r="D104" s="43"/>
      <c r="E104" s="43"/>
      <c r="F104" s="43"/>
      <c r="G104" s="43"/>
      <c r="H104" s="43"/>
      <c r="I104" s="43"/>
      <c r="J104" s="43"/>
      <c r="K104" s="43"/>
      <c r="L104" s="43"/>
      <c r="M104" s="43"/>
      <c r="N104" s="43"/>
      <c r="O104" s="43"/>
      <c r="P104" s="43"/>
      <c r="Q104" s="43"/>
      <c r="R104" s="43"/>
      <c r="S104" s="43"/>
      <c r="T104" s="43"/>
      <c r="U104" s="43"/>
      <c r="V104" s="43"/>
      <c r="W104" s="43"/>
      <c r="X104" s="43"/>
      <c r="Y104" s="43"/>
      <c r="Z104" s="43"/>
      <c r="AA104" s="43"/>
      <c r="AB104" s="43"/>
      <c r="AC104" s="42">
        <f t="shared" si="7"/>
        <v>250041.32</v>
      </c>
      <c r="AD104" s="33"/>
      <c r="AE104" s="67"/>
      <c r="AF104" s="91">
        <f>41185.37+20592.68+20592.69+20592.68+20592.68+21080.87+21080.87+21080.87+21080.87+42161.74</f>
        <v>250041.31999999998</v>
      </c>
      <c r="AG104" s="79">
        <f t="shared" si="9"/>
        <v>99.99999999999999</v>
      </c>
    </row>
    <row r="105" spans="1:33" ht="32.25" customHeight="1">
      <c r="A105" s="9"/>
      <c r="B105" s="56" t="s">
        <v>12</v>
      </c>
      <c r="C105" s="42">
        <v>81800</v>
      </c>
      <c r="D105" s="43"/>
      <c r="E105" s="43"/>
      <c r="F105" s="43"/>
      <c r="G105" s="43"/>
      <c r="H105" s="43"/>
      <c r="I105" s="43"/>
      <c r="J105" s="43"/>
      <c r="K105" s="43"/>
      <c r="L105" s="43"/>
      <c r="M105" s="43"/>
      <c r="N105" s="43"/>
      <c r="O105" s="43"/>
      <c r="P105" s="43"/>
      <c r="Q105" s="43"/>
      <c r="R105" s="43"/>
      <c r="S105" s="43"/>
      <c r="T105" s="43"/>
      <c r="U105" s="43"/>
      <c r="V105" s="43"/>
      <c r="W105" s="43"/>
      <c r="X105" s="43"/>
      <c r="Y105" s="43"/>
      <c r="Z105" s="43"/>
      <c r="AA105" s="43"/>
      <c r="AB105" s="43"/>
      <c r="AC105" s="42">
        <f t="shared" si="7"/>
        <v>81800</v>
      </c>
      <c r="AD105" s="33"/>
      <c r="AE105" s="67"/>
      <c r="AF105" s="91">
        <f>52000+14522.25+15277.74</f>
        <v>81799.99</v>
      </c>
      <c r="AG105" s="79">
        <f t="shared" si="9"/>
        <v>99.99998777506113</v>
      </c>
    </row>
    <row r="106" spans="1:33" ht="13.5">
      <c r="A106" s="9" t="s">
        <v>120</v>
      </c>
      <c r="B106" s="55" t="s">
        <v>21</v>
      </c>
      <c r="C106" s="41">
        <f>AC106+AD106</f>
        <v>13183892.32</v>
      </c>
      <c r="D106" s="41">
        <f aca="true" t="shared" si="14" ref="D106:AB106">SUM(D107:D112)</f>
        <v>0</v>
      </c>
      <c r="E106" s="41">
        <f t="shared" si="14"/>
        <v>0</v>
      </c>
      <c r="F106" s="41">
        <f t="shared" si="14"/>
        <v>0</v>
      </c>
      <c r="G106" s="41">
        <f t="shared" si="14"/>
        <v>0</v>
      </c>
      <c r="H106" s="41">
        <f t="shared" si="14"/>
        <v>0</v>
      </c>
      <c r="I106" s="41">
        <f t="shared" si="14"/>
        <v>0</v>
      </c>
      <c r="J106" s="41">
        <f t="shared" si="14"/>
        <v>0</v>
      </c>
      <c r="K106" s="41">
        <f t="shared" si="14"/>
        <v>0</v>
      </c>
      <c r="L106" s="41">
        <f t="shared" si="14"/>
        <v>0</v>
      </c>
      <c r="M106" s="41">
        <f t="shared" si="14"/>
        <v>0</v>
      </c>
      <c r="N106" s="41">
        <f t="shared" si="14"/>
        <v>0</v>
      </c>
      <c r="O106" s="41">
        <f t="shared" si="14"/>
        <v>0</v>
      </c>
      <c r="P106" s="41">
        <f t="shared" si="14"/>
        <v>0</v>
      </c>
      <c r="Q106" s="41">
        <f t="shared" si="14"/>
        <v>0</v>
      </c>
      <c r="R106" s="41">
        <f t="shared" si="14"/>
        <v>0</v>
      </c>
      <c r="S106" s="41">
        <f t="shared" si="14"/>
        <v>0</v>
      </c>
      <c r="T106" s="41">
        <f t="shared" si="14"/>
        <v>0</v>
      </c>
      <c r="U106" s="41">
        <f t="shared" si="14"/>
        <v>0</v>
      </c>
      <c r="V106" s="41">
        <f t="shared" si="14"/>
        <v>0</v>
      </c>
      <c r="W106" s="41">
        <f t="shared" si="14"/>
        <v>0</v>
      </c>
      <c r="X106" s="41">
        <f t="shared" si="14"/>
        <v>0</v>
      </c>
      <c r="Y106" s="41">
        <f t="shared" si="14"/>
        <v>0</v>
      </c>
      <c r="Z106" s="41">
        <f t="shared" si="14"/>
        <v>0</v>
      </c>
      <c r="AA106" s="41">
        <f t="shared" si="14"/>
        <v>0</v>
      </c>
      <c r="AB106" s="41">
        <f t="shared" si="14"/>
        <v>0</v>
      </c>
      <c r="AC106" s="41">
        <f>AC107+AC112+AC113+AC114</f>
        <v>12483892.32</v>
      </c>
      <c r="AD106" s="41">
        <f>AD107+AD112+AD113+AD114</f>
        <v>700000</v>
      </c>
      <c r="AE106" s="41">
        <f>AE107+AE112+AE113+AE114</f>
        <v>700000</v>
      </c>
      <c r="AF106" s="89">
        <f>AF107+AF112+AF113+AF114</f>
        <v>10012832.27</v>
      </c>
      <c r="AG106" s="78">
        <f t="shared" si="9"/>
        <v>75.94746700722446</v>
      </c>
    </row>
    <row r="107" spans="1:33" ht="46.5" customHeight="1">
      <c r="A107" s="9"/>
      <c r="B107" s="56" t="s">
        <v>216</v>
      </c>
      <c r="C107" s="42">
        <f>8326507.14+1750000+1400000+198000+579285.18</f>
        <v>12253792.32</v>
      </c>
      <c r="D107" s="43"/>
      <c r="E107" s="43"/>
      <c r="F107" s="43"/>
      <c r="G107" s="43"/>
      <c r="H107" s="43"/>
      <c r="I107" s="43"/>
      <c r="J107" s="43"/>
      <c r="K107" s="43"/>
      <c r="L107" s="43"/>
      <c r="M107" s="43"/>
      <c r="N107" s="43"/>
      <c r="O107" s="43"/>
      <c r="P107" s="43"/>
      <c r="Q107" s="43"/>
      <c r="R107" s="43"/>
      <c r="S107" s="43"/>
      <c r="T107" s="43"/>
      <c r="U107" s="43"/>
      <c r="V107" s="43"/>
      <c r="W107" s="43"/>
      <c r="X107" s="43"/>
      <c r="Y107" s="43"/>
      <c r="Z107" s="43"/>
      <c r="AA107" s="43"/>
      <c r="AB107" s="43"/>
      <c r="AC107" s="42">
        <f t="shared" si="7"/>
        <v>12253792.32</v>
      </c>
      <c r="AD107" s="33"/>
      <c r="AE107" s="69"/>
      <c r="AF107" s="91">
        <f>8940416.65+1921.66+16748.16+400726+11402.35+423487.01</f>
        <v>9794701.83</v>
      </c>
      <c r="AG107" s="79">
        <f t="shared" si="9"/>
        <v>79.93200451107367</v>
      </c>
    </row>
    <row r="108" spans="1:33" ht="39" customHeight="1">
      <c r="A108" s="9"/>
      <c r="B108" s="130" t="s">
        <v>221</v>
      </c>
      <c r="C108" s="42">
        <f>15000</f>
        <v>15000</v>
      </c>
      <c r="D108" s="43"/>
      <c r="E108" s="43"/>
      <c r="F108" s="43"/>
      <c r="G108" s="43"/>
      <c r="H108" s="43"/>
      <c r="I108" s="43"/>
      <c r="J108" s="43"/>
      <c r="K108" s="43"/>
      <c r="L108" s="43"/>
      <c r="M108" s="43"/>
      <c r="N108" s="43"/>
      <c r="O108" s="43"/>
      <c r="P108" s="43"/>
      <c r="Q108" s="43"/>
      <c r="R108" s="43"/>
      <c r="S108" s="43"/>
      <c r="T108" s="43"/>
      <c r="U108" s="43"/>
      <c r="V108" s="43"/>
      <c r="W108" s="43"/>
      <c r="X108" s="43"/>
      <c r="Y108" s="43"/>
      <c r="Z108" s="43"/>
      <c r="AA108" s="43"/>
      <c r="AB108" s="43"/>
      <c r="AC108" s="42">
        <f t="shared" si="7"/>
        <v>15000</v>
      </c>
      <c r="AD108" s="33"/>
      <c r="AE108" s="69"/>
      <c r="AF108" s="91"/>
      <c r="AG108" s="79">
        <f t="shared" si="9"/>
        <v>0</v>
      </c>
    </row>
    <row r="109" spans="1:33" ht="34.5" customHeight="1">
      <c r="A109" s="9"/>
      <c r="B109" s="130" t="s">
        <v>217</v>
      </c>
      <c r="C109" s="42">
        <f>50000</f>
        <v>50000</v>
      </c>
      <c r="D109" s="43"/>
      <c r="E109" s="43"/>
      <c r="F109" s="43"/>
      <c r="G109" s="43"/>
      <c r="H109" s="43"/>
      <c r="I109" s="43"/>
      <c r="J109" s="43"/>
      <c r="K109" s="43"/>
      <c r="L109" s="43"/>
      <c r="M109" s="43"/>
      <c r="N109" s="43"/>
      <c r="O109" s="43"/>
      <c r="P109" s="43"/>
      <c r="Q109" s="43"/>
      <c r="R109" s="43"/>
      <c r="S109" s="43"/>
      <c r="T109" s="43"/>
      <c r="U109" s="43"/>
      <c r="V109" s="43"/>
      <c r="W109" s="43"/>
      <c r="X109" s="43"/>
      <c r="Y109" s="43"/>
      <c r="Z109" s="43"/>
      <c r="AA109" s="43"/>
      <c r="AB109" s="43"/>
      <c r="AC109" s="42">
        <f t="shared" si="7"/>
        <v>50000</v>
      </c>
      <c r="AD109" s="33"/>
      <c r="AE109" s="69"/>
      <c r="AF109" s="91"/>
      <c r="AG109" s="79">
        <f t="shared" si="9"/>
        <v>0</v>
      </c>
    </row>
    <row r="110" spans="1:33" ht="27.75" customHeight="1">
      <c r="A110" s="9"/>
      <c r="B110" s="130" t="s">
        <v>218</v>
      </c>
      <c r="C110" s="42">
        <v>40000</v>
      </c>
      <c r="D110" s="43"/>
      <c r="E110" s="43"/>
      <c r="F110" s="43"/>
      <c r="G110" s="43"/>
      <c r="H110" s="43"/>
      <c r="I110" s="43"/>
      <c r="J110" s="43"/>
      <c r="K110" s="43"/>
      <c r="L110" s="43"/>
      <c r="M110" s="43"/>
      <c r="N110" s="43"/>
      <c r="O110" s="43"/>
      <c r="P110" s="43"/>
      <c r="Q110" s="43"/>
      <c r="R110" s="43"/>
      <c r="S110" s="43"/>
      <c r="T110" s="43"/>
      <c r="U110" s="43"/>
      <c r="V110" s="43"/>
      <c r="W110" s="43"/>
      <c r="X110" s="43"/>
      <c r="Y110" s="43"/>
      <c r="Z110" s="43"/>
      <c r="AA110" s="43"/>
      <c r="AB110" s="43"/>
      <c r="AC110" s="42">
        <f t="shared" si="7"/>
        <v>40000</v>
      </c>
      <c r="AD110" s="33"/>
      <c r="AE110" s="69"/>
      <c r="AF110" s="91"/>
      <c r="AG110" s="79">
        <f t="shared" si="9"/>
        <v>0</v>
      </c>
    </row>
    <row r="111" spans="1:33" ht="36" customHeight="1">
      <c r="A111" s="9"/>
      <c r="B111" s="130" t="s">
        <v>220</v>
      </c>
      <c r="C111" s="42">
        <v>234000</v>
      </c>
      <c r="D111" s="43"/>
      <c r="E111" s="43"/>
      <c r="F111" s="43"/>
      <c r="G111" s="43"/>
      <c r="H111" s="43"/>
      <c r="I111" s="43"/>
      <c r="J111" s="43"/>
      <c r="K111" s="43"/>
      <c r="L111" s="43"/>
      <c r="M111" s="43"/>
      <c r="N111" s="43"/>
      <c r="O111" s="43"/>
      <c r="P111" s="43"/>
      <c r="Q111" s="43"/>
      <c r="R111" s="43"/>
      <c r="S111" s="43"/>
      <c r="T111" s="43"/>
      <c r="U111" s="43"/>
      <c r="V111" s="43"/>
      <c r="W111" s="43"/>
      <c r="X111" s="43"/>
      <c r="Y111" s="43"/>
      <c r="Z111" s="43"/>
      <c r="AA111" s="43"/>
      <c r="AB111" s="43"/>
      <c r="AC111" s="42">
        <f t="shared" si="7"/>
        <v>234000</v>
      </c>
      <c r="AD111" s="33"/>
      <c r="AE111" s="69"/>
      <c r="AF111" s="91"/>
      <c r="AG111" s="79">
        <f t="shared" si="9"/>
        <v>0</v>
      </c>
    </row>
    <row r="112" spans="1:33" ht="42">
      <c r="A112" s="9"/>
      <c r="B112" s="56" t="s">
        <v>13</v>
      </c>
      <c r="C112" s="42">
        <v>150000</v>
      </c>
      <c r="D112" s="43"/>
      <c r="E112" s="43"/>
      <c r="F112" s="43"/>
      <c r="G112" s="43"/>
      <c r="H112" s="43"/>
      <c r="I112" s="43"/>
      <c r="J112" s="43"/>
      <c r="K112" s="43"/>
      <c r="L112" s="43"/>
      <c r="M112" s="43"/>
      <c r="N112" s="43"/>
      <c r="O112" s="43"/>
      <c r="P112" s="43"/>
      <c r="Q112" s="43"/>
      <c r="R112" s="43"/>
      <c r="S112" s="43"/>
      <c r="T112" s="43"/>
      <c r="U112" s="43"/>
      <c r="V112" s="43"/>
      <c r="W112" s="43"/>
      <c r="X112" s="43"/>
      <c r="Y112" s="43"/>
      <c r="Z112" s="43"/>
      <c r="AA112" s="43"/>
      <c r="AB112" s="43"/>
      <c r="AC112" s="42">
        <f>C112</f>
        <v>150000</v>
      </c>
      <c r="AD112" s="16"/>
      <c r="AE112" s="71"/>
      <c r="AF112" s="91">
        <f>23789.68+114240.76</f>
        <v>138030.44</v>
      </c>
      <c r="AG112" s="79">
        <f t="shared" si="9"/>
        <v>92.02029333333334</v>
      </c>
    </row>
    <row r="113" spans="1:33" ht="13.5">
      <c r="A113" s="9"/>
      <c r="B113" s="26" t="s">
        <v>112</v>
      </c>
      <c r="C113" s="42">
        <f>AD113</f>
        <v>700000</v>
      </c>
      <c r="D113" s="43"/>
      <c r="E113" s="43"/>
      <c r="F113" s="43"/>
      <c r="G113" s="43"/>
      <c r="H113" s="43"/>
      <c r="I113" s="43"/>
      <c r="J113" s="43"/>
      <c r="K113" s="43"/>
      <c r="L113" s="43"/>
      <c r="M113" s="43"/>
      <c r="N113" s="43"/>
      <c r="O113" s="43"/>
      <c r="P113" s="43"/>
      <c r="Q113" s="43"/>
      <c r="R113" s="43"/>
      <c r="S113" s="43"/>
      <c r="T113" s="43"/>
      <c r="U113" s="43"/>
      <c r="V113" s="43"/>
      <c r="W113" s="43"/>
      <c r="X113" s="43"/>
      <c r="Y113" s="43"/>
      <c r="Z113" s="43"/>
      <c r="AA113" s="43"/>
      <c r="AB113" s="43"/>
      <c r="AC113" s="42"/>
      <c r="AD113" s="32">
        <v>700000</v>
      </c>
      <c r="AE113" s="72">
        <f>AD113</f>
        <v>700000</v>
      </c>
      <c r="AF113" s="90"/>
      <c r="AG113" s="79">
        <f t="shared" si="9"/>
        <v>0</v>
      </c>
    </row>
    <row r="114" spans="1:33" ht="19.5" customHeight="1">
      <c r="A114" s="9"/>
      <c r="B114" s="56" t="s">
        <v>158</v>
      </c>
      <c r="C114" s="42">
        <f>AD114+AC114</f>
        <v>80100</v>
      </c>
      <c r="D114" s="47"/>
      <c r="E114" s="47"/>
      <c r="F114" s="47"/>
      <c r="G114" s="47"/>
      <c r="H114" s="47"/>
      <c r="I114" s="47"/>
      <c r="J114" s="47"/>
      <c r="K114" s="47"/>
      <c r="L114" s="47"/>
      <c r="M114" s="47"/>
      <c r="N114" s="47"/>
      <c r="O114" s="47"/>
      <c r="P114" s="47"/>
      <c r="Q114" s="47"/>
      <c r="R114" s="47"/>
      <c r="S114" s="47"/>
      <c r="T114" s="47"/>
      <c r="U114" s="47"/>
      <c r="V114" s="47"/>
      <c r="W114" s="47"/>
      <c r="X114" s="47"/>
      <c r="Y114" s="47"/>
      <c r="Z114" s="47"/>
      <c r="AA114" s="47"/>
      <c r="AB114" s="47"/>
      <c r="AC114" s="60">
        <v>80100</v>
      </c>
      <c r="AD114" s="32"/>
      <c r="AE114" s="72"/>
      <c r="AF114" s="91">
        <v>80100</v>
      </c>
      <c r="AG114" s="79">
        <f t="shared" si="9"/>
        <v>100</v>
      </c>
    </row>
    <row r="115" spans="1:33" ht="27.75">
      <c r="A115" s="9" t="s">
        <v>121</v>
      </c>
      <c r="B115" s="55" t="s">
        <v>46</v>
      </c>
      <c r="C115" s="41">
        <f>SUM(C116:C116)</f>
        <v>121704.97</v>
      </c>
      <c r="D115" s="41">
        <f aca="true" t="shared" si="15" ref="D115:AB115">SUM(D116:D116)</f>
        <v>0</v>
      </c>
      <c r="E115" s="41">
        <f t="shared" si="15"/>
        <v>0</v>
      </c>
      <c r="F115" s="41">
        <f t="shared" si="15"/>
        <v>0</v>
      </c>
      <c r="G115" s="41">
        <f t="shared" si="15"/>
        <v>0</v>
      </c>
      <c r="H115" s="41">
        <f t="shared" si="15"/>
        <v>0</v>
      </c>
      <c r="I115" s="41">
        <f t="shared" si="15"/>
        <v>0</v>
      </c>
      <c r="J115" s="41">
        <f t="shared" si="15"/>
        <v>0</v>
      </c>
      <c r="K115" s="41">
        <f t="shared" si="15"/>
        <v>0</v>
      </c>
      <c r="L115" s="41">
        <f t="shared" si="15"/>
        <v>0</v>
      </c>
      <c r="M115" s="41">
        <f t="shared" si="15"/>
        <v>0</v>
      </c>
      <c r="N115" s="41">
        <f t="shared" si="15"/>
        <v>0</v>
      </c>
      <c r="O115" s="41">
        <f t="shared" si="15"/>
        <v>0</v>
      </c>
      <c r="P115" s="41">
        <f t="shared" si="15"/>
        <v>0</v>
      </c>
      <c r="Q115" s="41">
        <f t="shared" si="15"/>
        <v>0</v>
      </c>
      <c r="R115" s="41">
        <f t="shared" si="15"/>
        <v>0</v>
      </c>
      <c r="S115" s="41">
        <f t="shared" si="15"/>
        <v>0</v>
      </c>
      <c r="T115" s="41">
        <f t="shared" si="15"/>
        <v>0</v>
      </c>
      <c r="U115" s="41">
        <f t="shared" si="15"/>
        <v>0</v>
      </c>
      <c r="V115" s="41">
        <f t="shared" si="15"/>
        <v>0</v>
      </c>
      <c r="W115" s="41">
        <f t="shared" si="15"/>
        <v>0</v>
      </c>
      <c r="X115" s="41">
        <f t="shared" si="15"/>
        <v>0</v>
      </c>
      <c r="Y115" s="41">
        <f t="shared" si="15"/>
        <v>0</v>
      </c>
      <c r="Z115" s="41">
        <f t="shared" si="15"/>
        <v>0</v>
      </c>
      <c r="AA115" s="41">
        <f t="shared" si="15"/>
        <v>0</v>
      </c>
      <c r="AB115" s="41">
        <f t="shared" si="15"/>
        <v>0</v>
      </c>
      <c r="AC115" s="41">
        <f t="shared" si="7"/>
        <v>121704.97</v>
      </c>
      <c r="AD115" s="15"/>
      <c r="AE115" s="66"/>
      <c r="AF115" s="89">
        <f>SUM(AF116:AF116)</f>
        <v>119004</v>
      </c>
      <c r="AG115" s="78">
        <f t="shared" si="9"/>
        <v>97.78072333447024</v>
      </c>
    </row>
    <row r="116" spans="1:33" ht="23.25" customHeight="1">
      <c r="A116" s="9"/>
      <c r="B116" s="56" t="s">
        <v>47</v>
      </c>
      <c r="C116" s="42">
        <f>102000+19704.97</f>
        <v>121704.97</v>
      </c>
      <c r="D116" s="43"/>
      <c r="E116" s="43"/>
      <c r="F116" s="43"/>
      <c r="G116" s="43"/>
      <c r="H116" s="43"/>
      <c r="I116" s="43"/>
      <c r="J116" s="43"/>
      <c r="K116" s="43"/>
      <c r="L116" s="43"/>
      <c r="M116" s="43"/>
      <c r="N116" s="43"/>
      <c r="O116" s="43"/>
      <c r="P116" s="43"/>
      <c r="Q116" s="43"/>
      <c r="R116" s="43"/>
      <c r="S116" s="43"/>
      <c r="T116" s="43"/>
      <c r="U116" s="43"/>
      <c r="V116" s="43"/>
      <c r="W116" s="43"/>
      <c r="X116" s="43"/>
      <c r="Y116" s="43"/>
      <c r="Z116" s="43"/>
      <c r="AA116" s="43"/>
      <c r="AB116" s="43"/>
      <c r="AC116" s="42">
        <f t="shared" si="7"/>
        <v>121704.97</v>
      </c>
      <c r="AD116" s="16"/>
      <c r="AE116" s="66"/>
      <c r="AF116" s="91">
        <f>99616.15+19387.85</f>
        <v>119004</v>
      </c>
      <c r="AG116" s="79">
        <f t="shared" si="9"/>
        <v>97.78072333447024</v>
      </c>
    </row>
    <row r="117" spans="1:33" ht="13.5">
      <c r="A117" s="9" t="s">
        <v>122</v>
      </c>
      <c r="B117" s="55" t="s">
        <v>1</v>
      </c>
      <c r="C117" s="41">
        <f>SUM(C118:C119)</f>
        <v>851133.72</v>
      </c>
      <c r="D117" s="41">
        <f aca="true" t="shared" si="16" ref="D117:AB117">SUM(D118:D119)</f>
        <v>0</v>
      </c>
      <c r="E117" s="41">
        <f t="shared" si="16"/>
        <v>0</v>
      </c>
      <c r="F117" s="41">
        <f t="shared" si="16"/>
        <v>0</v>
      </c>
      <c r="G117" s="41">
        <f t="shared" si="16"/>
        <v>0</v>
      </c>
      <c r="H117" s="41">
        <f t="shared" si="16"/>
        <v>0</v>
      </c>
      <c r="I117" s="41">
        <f t="shared" si="16"/>
        <v>0</v>
      </c>
      <c r="J117" s="41">
        <f t="shared" si="16"/>
        <v>0</v>
      </c>
      <c r="K117" s="41">
        <f t="shared" si="16"/>
        <v>0</v>
      </c>
      <c r="L117" s="41">
        <f t="shared" si="16"/>
        <v>0</v>
      </c>
      <c r="M117" s="41">
        <f t="shared" si="16"/>
        <v>0</v>
      </c>
      <c r="N117" s="41">
        <f t="shared" si="16"/>
        <v>0</v>
      </c>
      <c r="O117" s="41">
        <f t="shared" si="16"/>
        <v>0</v>
      </c>
      <c r="P117" s="41">
        <f t="shared" si="16"/>
        <v>0</v>
      </c>
      <c r="Q117" s="41">
        <f t="shared" si="16"/>
        <v>0</v>
      </c>
      <c r="R117" s="41">
        <f t="shared" si="16"/>
        <v>0</v>
      </c>
      <c r="S117" s="41">
        <f t="shared" si="16"/>
        <v>0</v>
      </c>
      <c r="T117" s="41">
        <f t="shared" si="16"/>
        <v>0</v>
      </c>
      <c r="U117" s="41">
        <f t="shared" si="16"/>
        <v>0</v>
      </c>
      <c r="V117" s="41">
        <f t="shared" si="16"/>
        <v>0</v>
      </c>
      <c r="W117" s="41">
        <f t="shared" si="16"/>
        <v>0</v>
      </c>
      <c r="X117" s="41">
        <f t="shared" si="16"/>
        <v>0</v>
      </c>
      <c r="Y117" s="41">
        <f t="shared" si="16"/>
        <v>0</v>
      </c>
      <c r="Z117" s="41">
        <f t="shared" si="16"/>
        <v>0</v>
      </c>
      <c r="AA117" s="41">
        <f t="shared" si="16"/>
        <v>0</v>
      </c>
      <c r="AB117" s="41">
        <f t="shared" si="16"/>
        <v>0</v>
      </c>
      <c r="AC117" s="41">
        <f t="shared" si="7"/>
        <v>851133.72</v>
      </c>
      <c r="AD117" s="15"/>
      <c r="AE117" s="66"/>
      <c r="AF117" s="89">
        <f>SUM(AF118:AF119)</f>
        <v>760752.67</v>
      </c>
      <c r="AG117" s="78">
        <f t="shared" si="9"/>
        <v>89.38109865979696</v>
      </c>
    </row>
    <row r="118" spans="1:33" ht="13.5">
      <c r="A118" s="9"/>
      <c r="B118" s="56" t="s">
        <v>60</v>
      </c>
      <c r="C118" s="42">
        <v>751133.72</v>
      </c>
      <c r="D118" s="43"/>
      <c r="E118" s="43"/>
      <c r="F118" s="43"/>
      <c r="G118" s="43"/>
      <c r="H118" s="43"/>
      <c r="I118" s="43"/>
      <c r="J118" s="43"/>
      <c r="K118" s="43"/>
      <c r="L118" s="43"/>
      <c r="M118" s="43"/>
      <c r="N118" s="43"/>
      <c r="O118" s="43"/>
      <c r="P118" s="43"/>
      <c r="Q118" s="43"/>
      <c r="R118" s="43"/>
      <c r="S118" s="43"/>
      <c r="T118" s="43"/>
      <c r="U118" s="43"/>
      <c r="V118" s="43"/>
      <c r="W118" s="43"/>
      <c r="X118" s="43"/>
      <c r="Y118" s="43"/>
      <c r="Z118" s="43"/>
      <c r="AA118" s="43"/>
      <c r="AB118" s="43"/>
      <c r="AC118" s="42">
        <f t="shared" si="7"/>
        <v>751133.72</v>
      </c>
      <c r="AD118" s="16"/>
      <c r="AE118" s="66"/>
      <c r="AF118" s="90">
        <f>489369.46+67184.23+178391.37</f>
        <v>734945.06</v>
      </c>
      <c r="AG118" s="79">
        <f t="shared" si="9"/>
        <v>97.84476990328702</v>
      </c>
    </row>
    <row r="119" spans="1:33" ht="13.5">
      <c r="A119" s="9"/>
      <c r="B119" s="56" t="s">
        <v>31</v>
      </c>
      <c r="C119" s="42">
        <v>100000</v>
      </c>
      <c r="D119" s="43"/>
      <c r="E119" s="43"/>
      <c r="F119" s="43"/>
      <c r="G119" s="43"/>
      <c r="H119" s="43"/>
      <c r="I119" s="43"/>
      <c r="J119" s="43"/>
      <c r="K119" s="43"/>
      <c r="L119" s="43"/>
      <c r="M119" s="43"/>
      <c r="N119" s="43"/>
      <c r="O119" s="43"/>
      <c r="P119" s="43"/>
      <c r="Q119" s="43"/>
      <c r="R119" s="43"/>
      <c r="S119" s="43"/>
      <c r="T119" s="43"/>
      <c r="U119" s="43"/>
      <c r="V119" s="43"/>
      <c r="W119" s="43"/>
      <c r="X119" s="43"/>
      <c r="Y119" s="43"/>
      <c r="Z119" s="43"/>
      <c r="AA119" s="43"/>
      <c r="AB119" s="43"/>
      <c r="AC119" s="42">
        <f t="shared" si="7"/>
        <v>100000</v>
      </c>
      <c r="AD119" s="16"/>
      <c r="AE119" s="66"/>
      <c r="AF119" s="90">
        <f>6764.94+4155.7+1905.74+2325.52+2271.44+3547.54+3472.67+1364.06</f>
        <v>25807.610000000004</v>
      </c>
      <c r="AG119" s="79">
        <f t="shared" si="9"/>
        <v>25.807610000000004</v>
      </c>
    </row>
    <row r="120" spans="1:33" ht="13.5">
      <c r="A120" s="9" t="s">
        <v>123</v>
      </c>
      <c r="B120" s="55" t="s">
        <v>32</v>
      </c>
      <c r="C120" s="41">
        <v>188376.21</v>
      </c>
      <c r="D120" s="39"/>
      <c r="E120" s="39"/>
      <c r="F120" s="39"/>
      <c r="G120" s="39"/>
      <c r="H120" s="39"/>
      <c r="I120" s="39"/>
      <c r="J120" s="39"/>
      <c r="K120" s="39"/>
      <c r="L120" s="39"/>
      <c r="M120" s="39"/>
      <c r="N120" s="39"/>
      <c r="O120" s="39"/>
      <c r="P120" s="39"/>
      <c r="Q120" s="39"/>
      <c r="R120" s="39"/>
      <c r="S120" s="39"/>
      <c r="T120" s="39"/>
      <c r="U120" s="39"/>
      <c r="V120" s="39"/>
      <c r="W120" s="39"/>
      <c r="X120" s="39"/>
      <c r="Y120" s="39"/>
      <c r="Z120" s="39"/>
      <c r="AA120" s="39"/>
      <c r="AB120" s="39"/>
      <c r="AC120" s="41">
        <f t="shared" si="7"/>
        <v>188376.21</v>
      </c>
      <c r="AD120" s="16"/>
      <c r="AE120" s="66"/>
      <c r="AF120" s="89">
        <v>40000</v>
      </c>
      <c r="AG120" s="79">
        <f t="shared" si="9"/>
        <v>21.2341038180989</v>
      </c>
    </row>
    <row r="121" spans="1:33" ht="13.5">
      <c r="A121" s="9" t="s">
        <v>124</v>
      </c>
      <c r="B121" s="55" t="s">
        <v>165</v>
      </c>
      <c r="C121" s="41">
        <f>SUM(C122:C123)</f>
        <v>97441</v>
      </c>
      <c r="D121" s="41">
        <f aca="true" t="shared" si="17" ref="D121:AB121">SUM(D122:D123)</f>
        <v>0</v>
      </c>
      <c r="E121" s="41">
        <f t="shared" si="17"/>
        <v>0</v>
      </c>
      <c r="F121" s="41">
        <f t="shared" si="17"/>
        <v>0</v>
      </c>
      <c r="G121" s="41">
        <f t="shared" si="17"/>
        <v>0</v>
      </c>
      <c r="H121" s="41">
        <f t="shared" si="17"/>
        <v>0</v>
      </c>
      <c r="I121" s="41">
        <f t="shared" si="17"/>
        <v>0</v>
      </c>
      <c r="J121" s="41">
        <f t="shared" si="17"/>
        <v>0</v>
      </c>
      <c r="K121" s="41">
        <f t="shared" si="17"/>
        <v>0</v>
      </c>
      <c r="L121" s="41">
        <f t="shared" si="17"/>
        <v>0</v>
      </c>
      <c r="M121" s="41">
        <f t="shared" si="17"/>
        <v>0</v>
      </c>
      <c r="N121" s="41">
        <f t="shared" si="17"/>
        <v>0</v>
      </c>
      <c r="O121" s="41">
        <f t="shared" si="17"/>
        <v>0</v>
      </c>
      <c r="P121" s="41">
        <f t="shared" si="17"/>
        <v>0</v>
      </c>
      <c r="Q121" s="41">
        <f t="shared" si="17"/>
        <v>0</v>
      </c>
      <c r="R121" s="41">
        <f t="shared" si="17"/>
        <v>0</v>
      </c>
      <c r="S121" s="41">
        <f t="shared" si="17"/>
        <v>0</v>
      </c>
      <c r="T121" s="41">
        <f t="shared" si="17"/>
        <v>0</v>
      </c>
      <c r="U121" s="41">
        <f t="shared" si="17"/>
        <v>0</v>
      </c>
      <c r="V121" s="41">
        <f t="shared" si="17"/>
        <v>0</v>
      </c>
      <c r="W121" s="41">
        <f t="shared" si="17"/>
        <v>0</v>
      </c>
      <c r="X121" s="41">
        <f t="shared" si="17"/>
        <v>0</v>
      </c>
      <c r="Y121" s="41">
        <f t="shared" si="17"/>
        <v>0</v>
      </c>
      <c r="Z121" s="41">
        <f t="shared" si="17"/>
        <v>0</v>
      </c>
      <c r="AA121" s="41">
        <f t="shared" si="17"/>
        <v>0</v>
      </c>
      <c r="AB121" s="41">
        <f t="shared" si="17"/>
        <v>0</v>
      </c>
      <c r="AC121" s="41">
        <f t="shared" si="7"/>
        <v>97441</v>
      </c>
      <c r="AD121" s="48"/>
      <c r="AE121" s="66"/>
      <c r="AF121" s="89">
        <f>SUM(AF122:AF123)</f>
        <v>93696.51999999999</v>
      </c>
      <c r="AG121" s="78">
        <f t="shared" si="9"/>
        <v>96.15718229492718</v>
      </c>
    </row>
    <row r="122" spans="1:33" ht="13.5">
      <c r="A122" s="9"/>
      <c r="B122" s="56" t="s">
        <v>33</v>
      </c>
      <c r="C122" s="42">
        <v>93250</v>
      </c>
      <c r="D122" s="43"/>
      <c r="E122" s="43"/>
      <c r="F122" s="43"/>
      <c r="G122" s="43"/>
      <c r="H122" s="43"/>
      <c r="I122" s="43"/>
      <c r="J122" s="43"/>
      <c r="K122" s="43"/>
      <c r="L122" s="43"/>
      <c r="M122" s="43"/>
      <c r="N122" s="43"/>
      <c r="O122" s="43"/>
      <c r="P122" s="43"/>
      <c r="Q122" s="43"/>
      <c r="R122" s="43"/>
      <c r="S122" s="43"/>
      <c r="T122" s="43"/>
      <c r="U122" s="43"/>
      <c r="V122" s="43"/>
      <c r="W122" s="43"/>
      <c r="X122" s="43"/>
      <c r="Y122" s="43"/>
      <c r="Z122" s="43"/>
      <c r="AA122" s="43"/>
      <c r="AB122" s="43"/>
      <c r="AC122" s="42">
        <f t="shared" si="7"/>
        <v>93250</v>
      </c>
      <c r="AD122" s="16"/>
      <c r="AE122" s="66"/>
      <c r="AF122" s="90">
        <f>27053.44-4752.8+21602.9+20816.5+14571.55+10371.2</f>
        <v>89662.79</v>
      </c>
      <c r="AG122" s="79">
        <f t="shared" si="9"/>
        <v>96.15312600536193</v>
      </c>
    </row>
    <row r="123" spans="1:33" ht="13.5">
      <c r="A123" s="9"/>
      <c r="B123" s="56" t="s">
        <v>61</v>
      </c>
      <c r="C123" s="42">
        <v>4191</v>
      </c>
      <c r="D123" s="43"/>
      <c r="E123" s="43"/>
      <c r="F123" s="43"/>
      <c r="G123" s="43"/>
      <c r="H123" s="43"/>
      <c r="I123" s="43"/>
      <c r="J123" s="43"/>
      <c r="K123" s="43"/>
      <c r="L123" s="43"/>
      <c r="M123" s="43"/>
      <c r="N123" s="43"/>
      <c r="O123" s="43"/>
      <c r="P123" s="43"/>
      <c r="Q123" s="43"/>
      <c r="R123" s="43"/>
      <c r="S123" s="43"/>
      <c r="T123" s="43"/>
      <c r="U123" s="43"/>
      <c r="V123" s="43"/>
      <c r="W123" s="43"/>
      <c r="X123" s="43"/>
      <c r="Y123" s="43"/>
      <c r="Z123" s="43"/>
      <c r="AA123" s="43"/>
      <c r="AB123" s="43"/>
      <c r="AC123" s="42">
        <f t="shared" si="7"/>
        <v>4191</v>
      </c>
      <c r="AD123" s="16"/>
      <c r="AE123" s="66"/>
      <c r="AF123" s="90">
        <f>400.51+657.98+772.42+986.98+1215.84</f>
        <v>4033.7299999999996</v>
      </c>
      <c r="AG123" s="79">
        <f t="shared" si="9"/>
        <v>96.24743497971843</v>
      </c>
    </row>
    <row r="124" spans="1:33" ht="13.5">
      <c r="A124" s="9" t="s">
        <v>125</v>
      </c>
      <c r="B124" s="55" t="s">
        <v>164</v>
      </c>
      <c r="C124" s="41">
        <f>SUM(C125:C126)</f>
        <v>31520</v>
      </c>
      <c r="D124" s="41">
        <f aca="true" t="shared" si="18" ref="D124:AB124">SUM(D125:D126)</f>
        <v>0</v>
      </c>
      <c r="E124" s="41">
        <f t="shared" si="18"/>
        <v>0</v>
      </c>
      <c r="F124" s="41">
        <f t="shared" si="18"/>
        <v>0</v>
      </c>
      <c r="G124" s="41">
        <f t="shared" si="18"/>
        <v>0</v>
      </c>
      <c r="H124" s="41">
        <f t="shared" si="18"/>
        <v>0</v>
      </c>
      <c r="I124" s="41">
        <f t="shared" si="18"/>
        <v>0</v>
      </c>
      <c r="J124" s="41">
        <f t="shared" si="18"/>
        <v>0</v>
      </c>
      <c r="K124" s="41">
        <f t="shared" si="18"/>
        <v>0</v>
      </c>
      <c r="L124" s="41">
        <f t="shared" si="18"/>
        <v>0</v>
      </c>
      <c r="M124" s="41">
        <f t="shared" si="18"/>
        <v>0</v>
      </c>
      <c r="N124" s="41">
        <f t="shared" si="18"/>
        <v>0</v>
      </c>
      <c r="O124" s="41">
        <f t="shared" si="18"/>
        <v>0</v>
      </c>
      <c r="P124" s="41">
        <f t="shared" si="18"/>
        <v>0</v>
      </c>
      <c r="Q124" s="41">
        <f t="shared" si="18"/>
        <v>0</v>
      </c>
      <c r="R124" s="41">
        <f t="shared" si="18"/>
        <v>0</v>
      </c>
      <c r="S124" s="41">
        <f t="shared" si="18"/>
        <v>0</v>
      </c>
      <c r="T124" s="41">
        <f t="shared" si="18"/>
        <v>0</v>
      </c>
      <c r="U124" s="41">
        <f t="shared" si="18"/>
        <v>0</v>
      </c>
      <c r="V124" s="41">
        <f t="shared" si="18"/>
        <v>0</v>
      </c>
      <c r="W124" s="41">
        <f t="shared" si="18"/>
        <v>0</v>
      </c>
      <c r="X124" s="41">
        <f t="shared" si="18"/>
        <v>0</v>
      </c>
      <c r="Y124" s="41">
        <f t="shared" si="18"/>
        <v>0</v>
      </c>
      <c r="Z124" s="41">
        <f t="shared" si="18"/>
        <v>0</v>
      </c>
      <c r="AA124" s="41">
        <f t="shared" si="18"/>
        <v>0</v>
      </c>
      <c r="AB124" s="41">
        <f t="shared" si="18"/>
        <v>0</v>
      </c>
      <c r="AC124" s="41">
        <f t="shared" si="7"/>
        <v>31520</v>
      </c>
      <c r="AD124" s="16"/>
      <c r="AE124" s="66"/>
      <c r="AF124" s="89">
        <f>SUM(AF125:AF126)</f>
        <v>2417.91</v>
      </c>
      <c r="AG124" s="78">
        <f t="shared" si="9"/>
        <v>7.671034263959391</v>
      </c>
    </row>
    <row r="125" spans="1:33" ht="13.5">
      <c r="A125" s="9"/>
      <c r="B125" s="56" t="s">
        <v>34</v>
      </c>
      <c r="C125" s="42">
        <v>5331.2</v>
      </c>
      <c r="D125" s="43"/>
      <c r="E125" s="43"/>
      <c r="F125" s="43"/>
      <c r="G125" s="43"/>
      <c r="H125" s="43"/>
      <c r="I125" s="43"/>
      <c r="J125" s="43"/>
      <c r="K125" s="43"/>
      <c r="L125" s="43"/>
      <c r="M125" s="43"/>
      <c r="N125" s="43"/>
      <c r="O125" s="43"/>
      <c r="P125" s="43"/>
      <c r="Q125" s="43"/>
      <c r="R125" s="43"/>
      <c r="S125" s="43"/>
      <c r="T125" s="43"/>
      <c r="U125" s="43"/>
      <c r="V125" s="43"/>
      <c r="W125" s="43"/>
      <c r="X125" s="43"/>
      <c r="Y125" s="43"/>
      <c r="Z125" s="43"/>
      <c r="AA125" s="43"/>
      <c r="AB125" s="43"/>
      <c r="AC125" s="42">
        <f t="shared" si="7"/>
        <v>5331.2</v>
      </c>
      <c r="AD125" s="16"/>
      <c r="AE125" s="66"/>
      <c r="AF125" s="90">
        <f>570.07+1786.59</f>
        <v>2356.66</v>
      </c>
      <c r="AG125" s="79">
        <f t="shared" si="9"/>
        <v>44.20505702280912</v>
      </c>
    </row>
    <row r="126" spans="1:33" ht="13.5">
      <c r="A126" s="9"/>
      <c r="B126" s="56" t="s">
        <v>62</v>
      </c>
      <c r="C126" s="42">
        <v>26188.8</v>
      </c>
      <c r="D126" s="43"/>
      <c r="E126" s="43"/>
      <c r="F126" s="43"/>
      <c r="G126" s="43"/>
      <c r="H126" s="43"/>
      <c r="I126" s="43"/>
      <c r="J126" s="43"/>
      <c r="K126" s="43"/>
      <c r="L126" s="43"/>
      <c r="M126" s="43"/>
      <c r="N126" s="43"/>
      <c r="O126" s="43"/>
      <c r="P126" s="43"/>
      <c r="Q126" s="43"/>
      <c r="R126" s="43"/>
      <c r="S126" s="43"/>
      <c r="T126" s="43"/>
      <c r="U126" s="43"/>
      <c r="V126" s="43"/>
      <c r="W126" s="43"/>
      <c r="X126" s="43"/>
      <c r="Y126" s="43"/>
      <c r="Z126" s="43"/>
      <c r="AA126" s="43"/>
      <c r="AB126" s="43"/>
      <c r="AC126" s="42">
        <f t="shared" si="7"/>
        <v>26188.8</v>
      </c>
      <c r="AD126" s="16"/>
      <c r="AE126" s="66"/>
      <c r="AF126" s="90">
        <v>61.25</v>
      </c>
      <c r="AG126" s="79">
        <f t="shared" si="9"/>
        <v>0.2338786045943304</v>
      </c>
    </row>
    <row r="127" spans="1:33" ht="13.5">
      <c r="A127" s="9" t="s">
        <v>133</v>
      </c>
      <c r="B127" s="55" t="s">
        <v>134</v>
      </c>
      <c r="C127" s="41">
        <v>1500000</v>
      </c>
      <c r="D127" s="49"/>
      <c r="E127" s="49"/>
      <c r="F127" s="49"/>
      <c r="G127" s="49"/>
      <c r="H127" s="49"/>
      <c r="I127" s="49"/>
      <c r="J127" s="49"/>
      <c r="K127" s="49"/>
      <c r="L127" s="49"/>
      <c r="M127" s="49"/>
      <c r="N127" s="49"/>
      <c r="O127" s="49"/>
      <c r="P127" s="49"/>
      <c r="Q127" s="49"/>
      <c r="R127" s="49"/>
      <c r="S127" s="49"/>
      <c r="T127" s="49"/>
      <c r="U127" s="49"/>
      <c r="V127" s="49"/>
      <c r="W127" s="49"/>
      <c r="X127" s="49"/>
      <c r="Y127" s="49"/>
      <c r="Z127" s="49"/>
      <c r="AA127" s="49"/>
      <c r="AB127" s="49"/>
      <c r="AC127" s="41">
        <f t="shared" si="7"/>
        <v>1500000</v>
      </c>
      <c r="AD127" s="16"/>
      <c r="AE127" s="66"/>
      <c r="AF127" s="92"/>
      <c r="AG127" s="77">
        <f t="shared" si="9"/>
        <v>0</v>
      </c>
    </row>
    <row r="128" spans="1:33" s="3" customFormat="1" ht="23.25" customHeight="1">
      <c r="A128" s="22" t="s">
        <v>109</v>
      </c>
      <c r="B128" s="59" t="s">
        <v>52</v>
      </c>
      <c r="C128" s="40">
        <f>C129</f>
        <v>32849</v>
      </c>
      <c r="D128" s="40">
        <f aca="true" t="shared" si="19" ref="D128:AB128">D129</f>
        <v>0</v>
      </c>
      <c r="E128" s="40">
        <f t="shared" si="19"/>
        <v>0</v>
      </c>
      <c r="F128" s="40">
        <f t="shared" si="19"/>
        <v>0</v>
      </c>
      <c r="G128" s="40">
        <f t="shared" si="19"/>
        <v>0</v>
      </c>
      <c r="H128" s="40">
        <f t="shared" si="19"/>
        <v>0</v>
      </c>
      <c r="I128" s="40">
        <f t="shared" si="19"/>
        <v>0</v>
      </c>
      <c r="J128" s="40">
        <f t="shared" si="19"/>
        <v>0</v>
      </c>
      <c r="K128" s="40">
        <f t="shared" si="19"/>
        <v>0</v>
      </c>
      <c r="L128" s="40">
        <f t="shared" si="19"/>
        <v>0</v>
      </c>
      <c r="M128" s="40">
        <f t="shared" si="19"/>
        <v>0</v>
      </c>
      <c r="N128" s="40">
        <f t="shared" si="19"/>
        <v>0</v>
      </c>
      <c r="O128" s="40">
        <f t="shared" si="19"/>
        <v>0</v>
      </c>
      <c r="P128" s="40">
        <f t="shared" si="19"/>
        <v>0</v>
      </c>
      <c r="Q128" s="40">
        <f t="shared" si="19"/>
        <v>0</v>
      </c>
      <c r="R128" s="40">
        <f t="shared" si="19"/>
        <v>0</v>
      </c>
      <c r="S128" s="40">
        <f t="shared" si="19"/>
        <v>0</v>
      </c>
      <c r="T128" s="40">
        <f t="shared" si="19"/>
        <v>0</v>
      </c>
      <c r="U128" s="40">
        <f t="shared" si="19"/>
        <v>0</v>
      </c>
      <c r="V128" s="40">
        <f t="shared" si="19"/>
        <v>0</v>
      </c>
      <c r="W128" s="40">
        <f t="shared" si="19"/>
        <v>0</v>
      </c>
      <c r="X128" s="40">
        <f t="shared" si="19"/>
        <v>0</v>
      </c>
      <c r="Y128" s="40">
        <f t="shared" si="19"/>
        <v>0</v>
      </c>
      <c r="Z128" s="40">
        <f t="shared" si="19"/>
        <v>0</v>
      </c>
      <c r="AA128" s="40">
        <f t="shared" si="19"/>
        <v>0</v>
      </c>
      <c r="AB128" s="40">
        <f t="shared" si="19"/>
        <v>0</v>
      </c>
      <c r="AC128" s="40">
        <f>AC129</f>
        <v>32849</v>
      </c>
      <c r="AD128" s="17"/>
      <c r="AE128" s="73"/>
      <c r="AF128" s="93">
        <f>AF129</f>
        <v>32827.39</v>
      </c>
      <c r="AG128" s="76">
        <f t="shared" si="9"/>
        <v>99.93421413132819</v>
      </c>
    </row>
    <row r="129" spans="1:33" ht="27.75">
      <c r="A129" s="9" t="s">
        <v>126</v>
      </c>
      <c r="B129" s="115" t="s">
        <v>25</v>
      </c>
      <c r="C129" s="38">
        <v>32849</v>
      </c>
      <c r="D129" s="39"/>
      <c r="E129" s="39"/>
      <c r="F129" s="39"/>
      <c r="G129" s="39"/>
      <c r="H129" s="39"/>
      <c r="I129" s="39"/>
      <c r="J129" s="39"/>
      <c r="K129" s="39"/>
      <c r="L129" s="39"/>
      <c r="M129" s="39"/>
      <c r="N129" s="39"/>
      <c r="O129" s="39"/>
      <c r="P129" s="39"/>
      <c r="Q129" s="39"/>
      <c r="R129" s="39"/>
      <c r="S129" s="39"/>
      <c r="T129" s="39"/>
      <c r="U129" s="39"/>
      <c r="V129" s="39"/>
      <c r="W129" s="39"/>
      <c r="X129" s="39"/>
      <c r="Y129" s="39"/>
      <c r="Z129" s="39"/>
      <c r="AA129" s="39"/>
      <c r="AB129" s="39"/>
      <c r="AC129" s="80">
        <f>C129</f>
        <v>32849</v>
      </c>
      <c r="AD129" s="16"/>
      <c r="AE129" s="66"/>
      <c r="AF129" s="133">
        <v>32827.39</v>
      </c>
      <c r="AG129" s="77">
        <f t="shared" si="9"/>
        <v>99.93421413132819</v>
      </c>
    </row>
    <row r="130" spans="1:33" s="3" customFormat="1" ht="15">
      <c r="A130" s="22" t="s">
        <v>110</v>
      </c>
      <c r="B130" s="59" t="s">
        <v>29</v>
      </c>
      <c r="C130" s="40">
        <f>AC130</f>
        <v>832234.5</v>
      </c>
      <c r="D130" s="40">
        <f aca="true" t="shared" si="20" ref="D130:AB130">SUM(D132:D137)</f>
        <v>0</v>
      </c>
      <c r="E130" s="40">
        <f t="shared" si="20"/>
        <v>0</v>
      </c>
      <c r="F130" s="40">
        <f t="shared" si="20"/>
        <v>0</v>
      </c>
      <c r="G130" s="40">
        <f t="shared" si="20"/>
        <v>0</v>
      </c>
      <c r="H130" s="40">
        <f t="shared" si="20"/>
        <v>0</v>
      </c>
      <c r="I130" s="40">
        <f t="shared" si="20"/>
        <v>0</v>
      </c>
      <c r="J130" s="40">
        <f t="shared" si="20"/>
        <v>0</v>
      </c>
      <c r="K130" s="40">
        <f t="shared" si="20"/>
        <v>0</v>
      </c>
      <c r="L130" s="40">
        <f t="shared" si="20"/>
        <v>0</v>
      </c>
      <c r="M130" s="40">
        <f t="shared" si="20"/>
        <v>0</v>
      </c>
      <c r="N130" s="40">
        <f t="shared" si="20"/>
        <v>0</v>
      </c>
      <c r="O130" s="40">
        <f t="shared" si="20"/>
        <v>0</v>
      </c>
      <c r="P130" s="40">
        <f t="shared" si="20"/>
        <v>0</v>
      </c>
      <c r="Q130" s="40">
        <f t="shared" si="20"/>
        <v>0</v>
      </c>
      <c r="R130" s="40">
        <f t="shared" si="20"/>
        <v>0</v>
      </c>
      <c r="S130" s="40">
        <f t="shared" si="20"/>
        <v>0</v>
      </c>
      <c r="T130" s="40">
        <f t="shared" si="20"/>
        <v>0</v>
      </c>
      <c r="U130" s="40">
        <f t="shared" si="20"/>
        <v>0</v>
      </c>
      <c r="V130" s="40">
        <f t="shared" si="20"/>
        <v>0</v>
      </c>
      <c r="W130" s="40">
        <f t="shared" si="20"/>
        <v>0</v>
      </c>
      <c r="X130" s="40">
        <f t="shared" si="20"/>
        <v>0</v>
      </c>
      <c r="Y130" s="40">
        <f t="shared" si="20"/>
        <v>0</v>
      </c>
      <c r="Z130" s="40">
        <f t="shared" si="20"/>
        <v>0</v>
      </c>
      <c r="AA130" s="40">
        <f t="shared" si="20"/>
        <v>0</v>
      </c>
      <c r="AB130" s="40">
        <f t="shared" si="20"/>
        <v>0</v>
      </c>
      <c r="AC130" s="40">
        <f>AC132+AC133</f>
        <v>832234.5</v>
      </c>
      <c r="AD130" s="34">
        <f>AD137</f>
        <v>0</v>
      </c>
      <c r="AE130" s="65">
        <f>AD130</f>
        <v>0</v>
      </c>
      <c r="AF130" s="93">
        <f>AF131+AF137</f>
        <v>202086.3</v>
      </c>
      <c r="AG130" s="76">
        <f t="shared" si="9"/>
        <v>24.28237473933128</v>
      </c>
    </row>
    <row r="131" spans="1:33" ht="21" customHeight="1">
      <c r="A131" s="9" t="s">
        <v>113</v>
      </c>
      <c r="B131" s="55" t="s">
        <v>54</v>
      </c>
      <c r="C131" s="41">
        <f>C132+C133</f>
        <v>832234.5</v>
      </c>
      <c r="D131" s="41">
        <f aca="true" t="shared" si="21" ref="D131:AB131">D132+D137</f>
        <v>0</v>
      </c>
      <c r="E131" s="41">
        <f t="shared" si="21"/>
        <v>0</v>
      </c>
      <c r="F131" s="41">
        <f t="shared" si="21"/>
        <v>0</v>
      </c>
      <c r="G131" s="41">
        <f t="shared" si="21"/>
        <v>0</v>
      </c>
      <c r="H131" s="41">
        <f t="shared" si="21"/>
        <v>0</v>
      </c>
      <c r="I131" s="41">
        <f t="shared" si="21"/>
        <v>0</v>
      </c>
      <c r="J131" s="41">
        <f t="shared" si="21"/>
        <v>0</v>
      </c>
      <c r="K131" s="41">
        <f t="shared" si="21"/>
        <v>0</v>
      </c>
      <c r="L131" s="41">
        <f t="shared" si="21"/>
        <v>0</v>
      </c>
      <c r="M131" s="41">
        <f t="shared" si="21"/>
        <v>0</v>
      </c>
      <c r="N131" s="41">
        <f t="shared" si="21"/>
        <v>0</v>
      </c>
      <c r="O131" s="41">
        <f t="shared" si="21"/>
        <v>0</v>
      </c>
      <c r="P131" s="41">
        <f t="shared" si="21"/>
        <v>0</v>
      </c>
      <c r="Q131" s="41">
        <f t="shared" si="21"/>
        <v>0</v>
      </c>
      <c r="R131" s="41">
        <f t="shared" si="21"/>
        <v>0</v>
      </c>
      <c r="S131" s="41">
        <f t="shared" si="21"/>
        <v>0</v>
      </c>
      <c r="T131" s="41">
        <f t="shared" si="21"/>
        <v>0</v>
      </c>
      <c r="U131" s="41">
        <f t="shared" si="21"/>
        <v>0</v>
      </c>
      <c r="V131" s="41">
        <f t="shared" si="21"/>
        <v>0</v>
      </c>
      <c r="W131" s="41">
        <f t="shared" si="21"/>
        <v>0</v>
      </c>
      <c r="X131" s="41">
        <f t="shared" si="21"/>
        <v>0</v>
      </c>
      <c r="Y131" s="41">
        <f t="shared" si="21"/>
        <v>0</v>
      </c>
      <c r="Z131" s="41">
        <f t="shared" si="21"/>
        <v>0</v>
      </c>
      <c r="AA131" s="41">
        <f t="shared" si="21"/>
        <v>0</v>
      </c>
      <c r="AB131" s="41">
        <f t="shared" si="21"/>
        <v>0</v>
      </c>
      <c r="AC131" s="41">
        <f>C131</f>
        <v>832234.5</v>
      </c>
      <c r="AD131" s="61"/>
      <c r="AE131" s="74"/>
      <c r="AF131" s="89">
        <f>AF132+AF133</f>
        <v>202086.3</v>
      </c>
      <c r="AG131" s="132">
        <f t="shared" si="9"/>
        <v>24.28237473933128</v>
      </c>
    </row>
    <row r="132" spans="1:33" ht="42">
      <c r="A132" s="9"/>
      <c r="B132" s="56" t="s">
        <v>14</v>
      </c>
      <c r="C132" s="42">
        <v>723779.5</v>
      </c>
      <c r="D132" s="43"/>
      <c r="E132" s="43"/>
      <c r="F132" s="43"/>
      <c r="G132" s="43"/>
      <c r="H132" s="43"/>
      <c r="I132" s="43"/>
      <c r="J132" s="43"/>
      <c r="K132" s="43"/>
      <c r="L132" s="43"/>
      <c r="M132" s="43"/>
      <c r="N132" s="43"/>
      <c r="O132" s="43"/>
      <c r="P132" s="43"/>
      <c r="Q132" s="43"/>
      <c r="R132" s="43"/>
      <c r="S132" s="43"/>
      <c r="T132" s="43"/>
      <c r="U132" s="43"/>
      <c r="V132" s="43"/>
      <c r="W132" s="43"/>
      <c r="X132" s="43"/>
      <c r="Y132" s="43"/>
      <c r="Z132" s="43"/>
      <c r="AA132" s="43"/>
      <c r="AB132" s="43"/>
      <c r="AC132" s="42">
        <f>C132</f>
        <v>723779.5</v>
      </c>
      <c r="AD132" s="62"/>
      <c r="AE132" s="75"/>
      <c r="AF132" s="116">
        <f>24211.33+10124.25+10765.51+13157.92+11695.74+9191.49+14350.76+21184.89+15358.73+16539.68+6350+11796.83+18600+6214.66+12544.51</f>
        <v>202086.3</v>
      </c>
      <c r="AG132" s="131">
        <f t="shared" si="9"/>
        <v>27.9209759325872</v>
      </c>
    </row>
    <row r="133" spans="1:33" ht="32.25" customHeight="1">
      <c r="A133" s="9"/>
      <c r="B133" s="118" t="s">
        <v>15</v>
      </c>
      <c r="C133" s="42">
        <v>108455</v>
      </c>
      <c r="D133" s="43"/>
      <c r="E133" s="43"/>
      <c r="F133" s="43"/>
      <c r="G133" s="43"/>
      <c r="H133" s="43"/>
      <c r="I133" s="43"/>
      <c r="J133" s="43"/>
      <c r="K133" s="43"/>
      <c r="L133" s="43"/>
      <c r="M133" s="43"/>
      <c r="N133" s="43"/>
      <c r="O133" s="43"/>
      <c r="P133" s="43"/>
      <c r="Q133" s="43"/>
      <c r="R133" s="43"/>
      <c r="S133" s="43"/>
      <c r="T133" s="43"/>
      <c r="U133" s="43"/>
      <c r="V133" s="43"/>
      <c r="W133" s="43"/>
      <c r="X133" s="43"/>
      <c r="Y133" s="43"/>
      <c r="Z133" s="43"/>
      <c r="AA133" s="43"/>
      <c r="AB133" s="43"/>
      <c r="AC133" s="42">
        <f>C133</f>
        <v>108455</v>
      </c>
      <c r="AD133" s="62"/>
      <c r="AE133" s="75"/>
      <c r="AF133" s="91">
        <v>0</v>
      </c>
      <c r="AG133" s="131">
        <f t="shared" si="9"/>
        <v>0</v>
      </c>
    </row>
    <row r="134" spans="1:33" ht="32.25" customHeight="1">
      <c r="A134" s="119" t="s">
        <v>209</v>
      </c>
      <c r="B134" s="120" t="s">
        <v>210</v>
      </c>
      <c r="C134" s="126">
        <f>C135</f>
        <v>20000000</v>
      </c>
      <c r="D134" s="127"/>
      <c r="E134" s="127"/>
      <c r="F134" s="127"/>
      <c r="G134" s="127"/>
      <c r="H134" s="127"/>
      <c r="I134" s="127"/>
      <c r="J134" s="127"/>
      <c r="K134" s="127"/>
      <c r="L134" s="127"/>
      <c r="M134" s="127"/>
      <c r="N134" s="127"/>
      <c r="O134" s="127"/>
      <c r="P134" s="127"/>
      <c r="Q134" s="127"/>
      <c r="R134" s="127"/>
      <c r="S134" s="127"/>
      <c r="T134" s="127"/>
      <c r="U134" s="127"/>
      <c r="V134" s="127"/>
      <c r="W134" s="127"/>
      <c r="X134" s="127"/>
      <c r="Y134" s="127"/>
      <c r="Z134" s="127"/>
      <c r="AA134" s="127"/>
      <c r="AB134" s="127"/>
      <c r="AC134" s="126">
        <f>AC135</f>
        <v>20000000</v>
      </c>
      <c r="AD134" s="121"/>
      <c r="AE134" s="122"/>
      <c r="AF134" s="123"/>
      <c r="AG134" s="124"/>
    </row>
    <row r="135" spans="1:33" ht="43.5" customHeight="1">
      <c r="A135" s="9" t="s">
        <v>211</v>
      </c>
      <c r="B135" s="125" t="s">
        <v>212</v>
      </c>
      <c r="C135" s="38">
        <f>AC135</f>
        <v>20000000</v>
      </c>
      <c r="D135" s="39"/>
      <c r="E135" s="39"/>
      <c r="F135" s="39"/>
      <c r="G135" s="39"/>
      <c r="H135" s="39"/>
      <c r="I135" s="39"/>
      <c r="J135" s="39"/>
      <c r="K135" s="39"/>
      <c r="L135" s="39"/>
      <c r="M135" s="39"/>
      <c r="N135" s="39"/>
      <c r="O135" s="39"/>
      <c r="P135" s="39"/>
      <c r="Q135" s="39"/>
      <c r="R135" s="39"/>
      <c r="S135" s="39"/>
      <c r="T135" s="39"/>
      <c r="U135" s="39"/>
      <c r="V135" s="39"/>
      <c r="W135" s="39"/>
      <c r="X135" s="39"/>
      <c r="Y135" s="39"/>
      <c r="Z135" s="39"/>
      <c r="AA135" s="39"/>
      <c r="AB135" s="39"/>
      <c r="AC135" s="38">
        <v>20000000</v>
      </c>
      <c r="AD135" s="62"/>
      <c r="AE135" s="75"/>
      <c r="AF135" s="90"/>
      <c r="AG135" s="77">
        <f t="shared" si="9"/>
        <v>0</v>
      </c>
    </row>
    <row r="136" spans="1:33" ht="43.5" customHeight="1">
      <c r="A136" s="119" t="s">
        <v>213</v>
      </c>
      <c r="B136" s="128" t="s">
        <v>215</v>
      </c>
      <c r="C136" s="126">
        <f>C137</f>
        <v>16489400</v>
      </c>
      <c r="D136" s="127"/>
      <c r="E136" s="127"/>
      <c r="F136" s="127"/>
      <c r="G136" s="127"/>
      <c r="H136" s="127"/>
      <c r="I136" s="127"/>
      <c r="J136" s="127"/>
      <c r="K136" s="127"/>
      <c r="L136" s="127"/>
      <c r="M136" s="127"/>
      <c r="N136" s="127"/>
      <c r="O136" s="127"/>
      <c r="P136" s="127"/>
      <c r="Q136" s="127"/>
      <c r="R136" s="127"/>
      <c r="S136" s="127"/>
      <c r="T136" s="127"/>
      <c r="U136" s="127"/>
      <c r="V136" s="127"/>
      <c r="W136" s="127"/>
      <c r="X136" s="127"/>
      <c r="Y136" s="127"/>
      <c r="Z136" s="127"/>
      <c r="AA136" s="127"/>
      <c r="AB136" s="127"/>
      <c r="AC136" s="126">
        <f>AC137</f>
        <v>16489400</v>
      </c>
      <c r="AD136" s="121"/>
      <c r="AE136" s="122"/>
      <c r="AF136" s="123"/>
      <c r="AG136" s="124"/>
    </row>
    <row r="137" spans="1:33" ht="93" customHeight="1">
      <c r="A137" s="9" t="s">
        <v>214</v>
      </c>
      <c r="B137" s="51" t="s">
        <v>219</v>
      </c>
      <c r="C137" s="38">
        <f>AC137</f>
        <v>16489400</v>
      </c>
      <c r="D137" s="39"/>
      <c r="E137" s="39"/>
      <c r="F137" s="39"/>
      <c r="G137" s="39"/>
      <c r="H137" s="39"/>
      <c r="I137" s="39"/>
      <c r="J137" s="39"/>
      <c r="K137" s="39"/>
      <c r="L137" s="39"/>
      <c r="M137" s="39"/>
      <c r="N137" s="39"/>
      <c r="O137" s="39"/>
      <c r="P137" s="39"/>
      <c r="Q137" s="39"/>
      <c r="R137" s="39"/>
      <c r="S137" s="39"/>
      <c r="T137" s="39"/>
      <c r="U137" s="39"/>
      <c r="V137" s="39"/>
      <c r="W137" s="39"/>
      <c r="X137" s="39"/>
      <c r="Y137" s="39"/>
      <c r="Z137" s="39"/>
      <c r="AA137" s="39"/>
      <c r="AB137" s="39"/>
      <c r="AC137" s="38">
        <v>16489400</v>
      </c>
      <c r="AD137" s="35"/>
      <c r="AE137" s="68"/>
      <c r="AF137" s="94"/>
      <c r="AG137" s="77">
        <f t="shared" si="9"/>
        <v>0</v>
      </c>
    </row>
    <row r="138" spans="1:33" ht="24" customHeight="1">
      <c r="A138" s="139" t="s">
        <v>48</v>
      </c>
      <c r="B138" s="140"/>
      <c r="C138" s="50">
        <f>AC138+AE138</f>
        <v>131238802.62</v>
      </c>
      <c r="D138" s="50">
        <f aca="true" t="shared" si="22" ref="D138:AB138">D128+D69+D130</f>
        <v>0</v>
      </c>
      <c r="E138" s="50">
        <f t="shared" si="22"/>
        <v>0</v>
      </c>
      <c r="F138" s="50">
        <f t="shared" si="22"/>
        <v>0</v>
      </c>
      <c r="G138" s="50">
        <f t="shared" si="22"/>
        <v>0</v>
      </c>
      <c r="H138" s="50">
        <f t="shared" si="22"/>
        <v>0</v>
      </c>
      <c r="I138" s="50">
        <f t="shared" si="22"/>
        <v>0</v>
      </c>
      <c r="J138" s="50">
        <f t="shared" si="22"/>
        <v>0</v>
      </c>
      <c r="K138" s="50">
        <f t="shared" si="22"/>
        <v>0</v>
      </c>
      <c r="L138" s="50">
        <f t="shared" si="22"/>
        <v>0</v>
      </c>
      <c r="M138" s="50">
        <f t="shared" si="22"/>
        <v>0</v>
      </c>
      <c r="N138" s="50">
        <f t="shared" si="22"/>
        <v>0</v>
      </c>
      <c r="O138" s="50">
        <f t="shared" si="22"/>
        <v>0</v>
      </c>
      <c r="P138" s="50">
        <f t="shared" si="22"/>
        <v>0</v>
      </c>
      <c r="Q138" s="50">
        <f t="shared" si="22"/>
        <v>0</v>
      </c>
      <c r="R138" s="50">
        <f t="shared" si="22"/>
        <v>0</v>
      </c>
      <c r="S138" s="50">
        <f t="shared" si="22"/>
        <v>0</v>
      </c>
      <c r="T138" s="50">
        <f t="shared" si="22"/>
        <v>0</v>
      </c>
      <c r="U138" s="50">
        <f t="shared" si="22"/>
        <v>0</v>
      </c>
      <c r="V138" s="50">
        <f t="shared" si="22"/>
        <v>0</v>
      </c>
      <c r="W138" s="50">
        <f t="shared" si="22"/>
        <v>0</v>
      </c>
      <c r="X138" s="50">
        <f t="shared" si="22"/>
        <v>0</v>
      </c>
      <c r="Y138" s="50">
        <f t="shared" si="22"/>
        <v>0</v>
      </c>
      <c r="Z138" s="50">
        <f t="shared" si="22"/>
        <v>0</v>
      </c>
      <c r="AA138" s="50">
        <f t="shared" si="22"/>
        <v>0</v>
      </c>
      <c r="AB138" s="50">
        <f t="shared" si="22"/>
        <v>0</v>
      </c>
      <c r="AC138" s="50">
        <f>AC136+AC134+AC130+AC128+AC69</f>
        <v>86973338.18</v>
      </c>
      <c r="AD138" s="34">
        <f>AE138</f>
        <v>44265464.44</v>
      </c>
      <c r="AE138" s="65">
        <f>AE6+AE65+AE67+AE69+AE128+AE130</f>
        <v>44265464.44</v>
      </c>
      <c r="AF138" s="95">
        <f>AF130+AF128+AF69+AF67+AF65+AF6</f>
        <v>58340385.06999999</v>
      </c>
      <c r="AG138" s="76">
        <f t="shared" si="9"/>
        <v>44.453609683504745</v>
      </c>
    </row>
    <row r="139" spans="15:18" ht="12.75">
      <c r="O139" s="8"/>
      <c r="Q139" s="11"/>
      <c r="R139" s="11"/>
    </row>
    <row r="140" spans="1:29" s="4" customFormat="1" ht="18">
      <c r="A140" s="23"/>
      <c r="C140" s="12"/>
      <c r="D140" s="5"/>
      <c r="E140" s="5"/>
      <c r="F140" s="5"/>
      <c r="G140" s="5"/>
      <c r="H140" s="5"/>
      <c r="I140" s="5"/>
      <c r="J140" s="5"/>
      <c r="K140" s="5"/>
      <c r="L140" s="5"/>
      <c r="M140" s="5"/>
      <c r="N140" s="5"/>
      <c r="O140" s="13"/>
      <c r="P140" s="5"/>
      <c r="Q140" s="14"/>
      <c r="R140" s="14"/>
      <c r="S140" s="14"/>
      <c r="T140" s="14"/>
      <c r="U140" s="14"/>
      <c r="V140" s="14"/>
      <c r="W140" s="14"/>
      <c r="X140" s="5"/>
      <c r="Y140" s="5"/>
      <c r="Z140" s="5"/>
      <c r="AA140" s="5"/>
      <c r="AB140" s="5"/>
      <c r="AC140" s="5"/>
    </row>
    <row r="141" spans="15:23" ht="12.75">
      <c r="O141" s="8"/>
      <c r="Q141" s="10"/>
      <c r="R141" s="10"/>
      <c r="S141" s="10"/>
      <c r="T141" s="10"/>
      <c r="U141" s="10"/>
      <c r="V141" s="10"/>
      <c r="W141" s="10"/>
    </row>
    <row r="142" spans="1:31" ht="17.25">
      <c r="A142" s="138"/>
      <c r="B142" s="138"/>
      <c r="D142" s="5"/>
      <c r="E142" s="5"/>
      <c r="F142" s="5"/>
      <c r="G142" s="5"/>
      <c r="H142" s="5"/>
      <c r="I142" s="5"/>
      <c r="J142" s="5"/>
      <c r="K142" s="5"/>
      <c r="L142" s="5"/>
      <c r="M142" s="5"/>
      <c r="N142" s="5"/>
      <c r="O142" s="13"/>
      <c r="P142" s="5"/>
      <c r="Q142" s="14"/>
      <c r="R142" s="14"/>
      <c r="S142" s="14"/>
      <c r="T142" s="14"/>
      <c r="U142" s="14"/>
      <c r="V142" s="14"/>
      <c r="W142" s="14"/>
      <c r="X142" s="5"/>
      <c r="Y142" s="5"/>
      <c r="Z142" s="5"/>
      <c r="AA142" s="5"/>
      <c r="AB142" s="5"/>
      <c r="AC142" s="5"/>
      <c r="AE142" s="12"/>
    </row>
    <row r="143" ht="12.75">
      <c r="AD143" s="8"/>
    </row>
  </sheetData>
  <sheetProtection/>
  <mergeCells count="10">
    <mergeCell ref="AG4:AG5"/>
    <mergeCell ref="AF4:AF5"/>
    <mergeCell ref="A142:B142"/>
    <mergeCell ref="A138:B138"/>
    <mergeCell ref="A2:AE2"/>
    <mergeCell ref="A4:A5"/>
    <mergeCell ref="B4:B5"/>
    <mergeCell ref="C4:C5"/>
    <mergeCell ref="AC4:AC5"/>
    <mergeCell ref="AD4:AD5"/>
  </mergeCells>
  <printOptions/>
  <pageMargins left="0.24" right="0.3" top="0.5" bottom="0.7480314960629921" header="0.32" footer="0.31496062992125984"/>
  <pageSetup fitToHeight="13" fitToWidth="1" horizontalDpi="600" verticalDpi="600" orientation="portrait" paperSize="9" scale="5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Качаєнко Олена Андріївна</dc:creator>
  <cp:keywords/>
  <dc:description/>
  <cp:lastModifiedBy>fmg3</cp:lastModifiedBy>
  <cp:lastPrinted>2018-11-27T06:49:18Z</cp:lastPrinted>
  <dcterms:created xsi:type="dcterms:W3CDTF">2014-01-17T10:52:16Z</dcterms:created>
  <dcterms:modified xsi:type="dcterms:W3CDTF">2018-11-30T12:05:59Z</dcterms:modified>
  <cp:category/>
  <cp:version/>
  <cp:contentType/>
  <cp:contentStatus/>
</cp:coreProperties>
</file>